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si Reinekari\Music\O.V\Myynnit ja tilastot\2022\Uusi kansio\"/>
    </mc:Choice>
  </mc:AlternateContent>
  <xr:revisionPtr revIDLastSave="0" documentId="13_ncr:1_{ADA82A5D-3017-4B28-B82D-1269DED8D8A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candia kaikki 78rpm 52-59" sheetId="4" r:id="rId1"/>
    <sheet name="Scandia 78rpm 52-59" sheetId="6" r:id="rId2"/>
    <sheet name="EP 1955-1961" sheetId="7" r:id="rId3"/>
    <sheet name="LP 1957-1961" sheetId="8" r:id="rId4"/>
    <sheet name="Virta Scandia 1952-1955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8" l="1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I2" i="8"/>
  <c r="F34" i="7"/>
  <c r="F21" i="7"/>
  <c r="F47" i="7"/>
  <c r="F41" i="7"/>
  <c r="K12" i="7"/>
  <c r="F9" i="7"/>
  <c r="F43" i="7"/>
  <c r="F11" i="7"/>
  <c r="F18" i="7"/>
  <c r="G2" i="7"/>
  <c r="K54" i="7"/>
  <c r="D57" i="6"/>
  <c r="D24" i="6"/>
  <c r="D2" i="6"/>
  <c r="AM101" i="6"/>
  <c r="AQ99" i="6"/>
  <c r="AQ98" i="6"/>
  <c r="AQ93" i="6"/>
  <c r="AQ94" i="6"/>
  <c r="AQ95" i="6"/>
  <c r="AQ96" i="6"/>
  <c r="AQ97" i="6"/>
  <c r="AQ5" i="6"/>
  <c r="AQ33" i="6"/>
  <c r="AQ16" i="6"/>
  <c r="AQ14" i="6"/>
  <c r="AQ44" i="6"/>
  <c r="AQ18" i="6"/>
  <c r="AQ36" i="6"/>
  <c r="AQ79" i="6"/>
  <c r="AQ59" i="6"/>
  <c r="AQ73" i="6"/>
  <c r="AQ43" i="6"/>
  <c r="AQ65" i="6"/>
  <c r="AQ56" i="6"/>
  <c r="AQ63" i="6"/>
  <c r="AQ29" i="6"/>
  <c r="AQ51" i="6"/>
  <c r="AQ39" i="6"/>
  <c r="AQ27" i="6" l="1"/>
  <c r="AQ21" i="6"/>
  <c r="AQ8" i="6"/>
  <c r="AQ9" i="6"/>
  <c r="AQ12" i="6"/>
  <c r="AQ7" i="6"/>
  <c r="AQ4" i="6"/>
  <c r="AQ25" i="6"/>
  <c r="AQ17" i="6"/>
  <c r="AQ22" i="6"/>
  <c r="AQ11" i="6"/>
  <c r="AQ2" i="6"/>
  <c r="AQ6" i="6"/>
  <c r="AQ15" i="6"/>
  <c r="AQ50" i="6"/>
  <c r="AQ3" i="6"/>
  <c r="AQ41" i="6"/>
  <c r="AQ32" i="6"/>
  <c r="AQ28" i="6"/>
  <c r="AQ72" i="6"/>
  <c r="AQ66" i="6"/>
  <c r="AQ34" i="6"/>
  <c r="AQ45" i="6"/>
  <c r="AQ19" i="6"/>
  <c r="AQ26" i="6"/>
  <c r="AQ42" i="6"/>
  <c r="AQ10" i="6"/>
  <c r="AQ48" i="6"/>
  <c r="AQ57" i="6"/>
  <c r="AQ71" i="6"/>
  <c r="AQ74" i="6"/>
  <c r="AQ40" i="6"/>
  <c r="AQ31" i="6"/>
  <c r="AQ58" i="6"/>
  <c r="AQ67" i="6"/>
  <c r="AQ49" i="6"/>
  <c r="AQ60" i="6"/>
  <c r="AQ37" i="6"/>
  <c r="AQ35" i="6"/>
  <c r="AQ61" i="6"/>
  <c r="AQ13" i="6"/>
  <c r="AQ52" i="6"/>
  <c r="AQ46" i="6"/>
  <c r="AQ70" i="6"/>
  <c r="AQ47" i="6"/>
  <c r="AQ55" i="6"/>
  <c r="AQ68" i="6"/>
  <c r="AQ54" i="6"/>
  <c r="AQ38" i="6"/>
  <c r="AQ64" i="6"/>
  <c r="AQ69" i="6"/>
  <c r="AQ30" i="6"/>
  <c r="AQ53" i="6"/>
  <c r="M131" i="6"/>
  <c r="M129" i="6"/>
  <c r="M127" i="6"/>
  <c r="M111" i="6"/>
  <c r="M100" i="6"/>
  <c r="M70" i="6"/>
  <c r="L128" i="6"/>
  <c r="L126" i="6"/>
  <c r="L125" i="6"/>
  <c r="L124" i="6"/>
  <c r="L123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5" i="6"/>
  <c r="L94" i="6"/>
  <c r="L92" i="6"/>
  <c r="L90" i="6"/>
  <c r="L89" i="6"/>
  <c r="L88" i="6"/>
  <c r="L87" i="6"/>
  <c r="L85" i="6"/>
  <c r="L84" i="6"/>
  <c r="L72" i="6"/>
  <c r="L70" i="6"/>
  <c r="L68" i="6"/>
  <c r="L60" i="6"/>
  <c r="L54" i="6"/>
  <c r="L53" i="6"/>
  <c r="L49" i="6"/>
  <c r="L48" i="6"/>
  <c r="L46" i="6"/>
  <c r="L45" i="6"/>
  <c r="L44" i="6"/>
  <c r="L41" i="6"/>
  <c r="L40" i="6"/>
  <c r="L37" i="6"/>
  <c r="AI94" i="6"/>
  <c r="AM109" i="6"/>
  <c r="AM106" i="6"/>
  <c r="AM110" i="6"/>
  <c r="AM105" i="6"/>
  <c r="AM111" i="6"/>
  <c r="AM121" i="6"/>
  <c r="AM114" i="6"/>
  <c r="AM119" i="6"/>
  <c r="AM113" i="6"/>
  <c r="AM116" i="6"/>
  <c r="AM122" i="6"/>
  <c r="AM112" i="6"/>
  <c r="AI101" i="6"/>
  <c r="AI105" i="6"/>
  <c r="AI103" i="6"/>
  <c r="AI104" i="6"/>
  <c r="AE73" i="6"/>
  <c r="AE70" i="6"/>
  <c r="AA61" i="6"/>
  <c r="AA53" i="6"/>
  <c r="AA50" i="6"/>
  <c r="AA62" i="6"/>
  <c r="AA60" i="6"/>
  <c r="AA59" i="6"/>
  <c r="AA52" i="6"/>
  <c r="AA57" i="6"/>
  <c r="AA54" i="6"/>
  <c r="AA66" i="6"/>
  <c r="AA51" i="6"/>
  <c r="AA56" i="6"/>
  <c r="AA55" i="6"/>
  <c r="AM107" i="6"/>
  <c r="AM108" i="6"/>
  <c r="AM104" i="6"/>
  <c r="AI99" i="6"/>
  <c r="AI106" i="6"/>
  <c r="AI98" i="6"/>
  <c r="AI100" i="6"/>
  <c r="AI95" i="6"/>
  <c r="AI97" i="6"/>
  <c r="AI93" i="6"/>
  <c r="AE71" i="6"/>
  <c r="AE69" i="6"/>
  <c r="AE68" i="6"/>
  <c r="AE72" i="6"/>
  <c r="AE67" i="6"/>
  <c r="AE66" i="6"/>
  <c r="AA47" i="6"/>
  <c r="AA46" i="6"/>
  <c r="W24" i="6"/>
  <c r="W22" i="6"/>
  <c r="W20" i="6"/>
  <c r="AA40" i="6"/>
  <c r="AA43" i="6"/>
  <c r="W13" i="6"/>
  <c r="W2" i="6"/>
  <c r="AI2" i="6"/>
  <c r="AI91" i="6" s="1"/>
  <c r="AI53" i="6"/>
  <c r="AI54" i="6"/>
  <c r="AE3" i="6"/>
  <c r="AE46" i="6"/>
  <c r="AE5" i="6"/>
  <c r="AE24" i="6"/>
  <c r="AA41" i="6"/>
  <c r="AA11" i="6"/>
  <c r="AA25" i="6"/>
  <c r="AA39" i="6"/>
  <c r="AA7" i="6"/>
  <c r="AQ91" i="6" l="1"/>
  <c r="W18" i="6"/>
  <c r="AA44" i="6"/>
  <c r="AE64" i="6"/>
  <c r="S19" i="6"/>
  <c r="S14" i="6"/>
  <c r="S10" i="6"/>
  <c r="S9" i="6"/>
  <c r="S8" i="6"/>
  <c r="S7" i="6"/>
  <c r="S6" i="6"/>
  <c r="S3" i="6"/>
  <c r="S2" i="6"/>
  <c r="H22" i="6"/>
  <c r="I20" i="6"/>
  <c r="H18" i="6"/>
  <c r="H16" i="6"/>
  <c r="H9" i="6"/>
  <c r="G9" i="6"/>
  <c r="F7" i="6"/>
  <c r="H8" i="6"/>
  <c r="G8" i="6"/>
  <c r="J70" i="6"/>
  <c r="J36" i="6"/>
  <c r="J37" i="6"/>
  <c r="D5" i="6"/>
  <c r="I30" i="6"/>
  <c r="I40" i="6"/>
  <c r="I38" i="6"/>
  <c r="K8" i="4" l="1"/>
  <c r="K21" i="4"/>
  <c r="K31" i="4"/>
  <c r="K43" i="4"/>
  <c r="K46" i="4"/>
  <c r="I51" i="4"/>
  <c r="K51" i="4" s="1"/>
  <c r="I9" i="4"/>
  <c r="K9" i="4" s="1"/>
  <c r="I70" i="4"/>
  <c r="K70" i="4" s="1"/>
  <c r="I76" i="4"/>
  <c r="K76" i="4" s="1"/>
  <c r="I78" i="4"/>
  <c r="K78" i="4" s="1"/>
  <c r="I82" i="4"/>
  <c r="K82" i="4" s="1"/>
  <c r="I107" i="4"/>
  <c r="K107" i="4" s="1"/>
  <c r="I123" i="4"/>
  <c r="I121" i="4"/>
  <c r="K121" i="4" s="1"/>
  <c r="I116" i="4"/>
  <c r="K116" i="4" s="1"/>
  <c r="I111" i="4"/>
  <c r="K111" i="4" s="1"/>
  <c r="I66" i="4"/>
  <c r="K66" i="4" s="1"/>
  <c r="I62" i="4"/>
  <c r="K62" i="4" s="1"/>
  <c r="I54" i="4"/>
  <c r="K54" i="4" s="1"/>
  <c r="I46" i="4"/>
  <c r="I43" i="4"/>
  <c r="I31" i="4"/>
  <c r="I21" i="4"/>
  <c r="I18" i="4"/>
  <c r="K18" i="4" s="1"/>
  <c r="I14" i="4"/>
  <c r="K14" i="4" s="1"/>
  <c r="I8" i="4"/>
  <c r="I3" i="4"/>
  <c r="D124" i="4"/>
  <c r="D126" i="4" s="1"/>
  <c r="C5" i="3" l="1"/>
  <c r="C8" i="3" s="1"/>
</calcChain>
</file>

<file path=xl/sharedStrings.xml><?xml version="1.0" encoding="utf-8"?>
<sst xmlns="http://schemas.openxmlformats.org/spreadsheetml/2006/main" count="1993" uniqueCount="545">
  <si>
    <t>TOTAL</t>
  </si>
  <si>
    <t>KS 204</t>
  </si>
  <si>
    <t>Nukkumatti / Peteri punakuono</t>
  </si>
  <si>
    <t>KS 205</t>
  </si>
  <si>
    <t>30.11.52-1955</t>
  </si>
  <si>
    <t>4.12.52-1955</t>
  </si>
  <si>
    <t>Karjakko Maikki / Rakkaus suuri rakkaus</t>
  </si>
  <si>
    <t>San Antonion ruusu / Etelä meren laulu</t>
  </si>
  <si>
    <t>10.11.53-1955</t>
  </si>
  <si>
    <t>Portugalin huhtikuu / Seitsemän päivää</t>
  </si>
  <si>
    <t>Myllärin Irene / Kun kaikki toisetkin</t>
  </si>
  <si>
    <t>KS-225</t>
  </si>
  <si>
    <t>KS-207</t>
  </si>
  <si>
    <t>KS 206</t>
  </si>
  <si>
    <t>23.12.54-1955</t>
  </si>
  <si>
    <t>Onko syytä itkeä</t>
  </si>
  <si>
    <t>Virta</t>
  </si>
  <si>
    <t>Tähti</t>
  </si>
  <si>
    <t>Koivunen</t>
  </si>
  <si>
    <t>Hilpeä paimenhuilu</t>
  </si>
  <si>
    <t>Poika varjoisalta kujalta</t>
  </si>
  <si>
    <t>Sing song Sisters</t>
  </si>
  <si>
    <t>Virtanen</t>
  </si>
  <si>
    <t>Pustan sävel</t>
  </si>
  <si>
    <t>Pieni kukkanen</t>
  </si>
  <si>
    <t>Kinnunen</t>
  </si>
  <si>
    <t>Syyspihlajan alla</t>
  </si>
  <si>
    <t>Havajilainen lomapäivä</t>
  </si>
  <si>
    <t>Kuiskaten</t>
  </si>
  <si>
    <t>Leikivä kuu</t>
  </si>
  <si>
    <t>Ilta Santa Cruzissa</t>
  </si>
  <si>
    <t>Valkea joulu</t>
  </si>
  <si>
    <t>Minnetonkan laineiden laulu</t>
  </si>
  <si>
    <t>Pieni polku</t>
  </si>
  <si>
    <t>Augustin</t>
  </si>
  <si>
    <t>Tummat silmät</t>
  </si>
  <si>
    <t>Muistatko Monrepos/Pieni sydän</t>
  </si>
  <si>
    <t>Rakkaus/Untenmaa</t>
  </si>
  <si>
    <t>Tähti/Ditty dealers</t>
  </si>
  <si>
    <t>Oh el Baion/Sininen kangastus</t>
  </si>
  <si>
    <t>Kasvot sumussa/Viisi villi ruusua</t>
  </si>
  <si>
    <t>Kuningaskobra/Manolan kuu</t>
  </si>
  <si>
    <t>Balladi Olavinlinnasta/Aurinko tähdet ja kuu</t>
  </si>
  <si>
    <t>Budabestin yössä/Luna Lunera</t>
  </si>
  <si>
    <t>Syyskuun laulu</t>
  </si>
  <si>
    <t>Viljanen</t>
  </si>
  <si>
    <t>Anna</t>
  </si>
  <si>
    <t>Lampenius</t>
  </si>
  <si>
    <t>Tuulikkipolkka</t>
  </si>
  <si>
    <t>Scandia-kvartetti</t>
  </si>
  <si>
    <t>Joulupukki suukon sai</t>
  </si>
  <si>
    <t>Hilkka-Tellervo</t>
  </si>
  <si>
    <t>Lady be good</t>
  </si>
  <si>
    <t>Rössi</t>
  </si>
  <si>
    <t>Runne</t>
  </si>
  <si>
    <t>Howing waltz</t>
  </si>
  <si>
    <t>Gideon</t>
  </si>
  <si>
    <t>Rosetta</t>
  </si>
  <si>
    <t>Suojärvi</t>
  </si>
  <si>
    <t>Laura</t>
  </si>
  <si>
    <t>Nyt Pariisiin vaan</t>
  </si>
  <si>
    <t>Hyle</t>
  </si>
  <si>
    <t>Hawaijilainen sotalaulu</t>
  </si>
  <si>
    <t>Nainen-mies</t>
  </si>
  <si>
    <t>Sweet Georgia brown</t>
  </si>
  <si>
    <t>Usko pois</t>
  </si>
  <si>
    <t>Myllärin Irene</t>
  </si>
  <si>
    <t>Torppavanhus</t>
  </si>
  <si>
    <t>Kipparikvartetti</t>
  </si>
  <si>
    <t>Early autumn</t>
  </si>
  <si>
    <t>There is a small hotel</t>
  </si>
  <si>
    <t>Scandia all-star</t>
  </si>
  <si>
    <t>Saaristolaisrakkautta</t>
  </si>
  <si>
    <t>Armi</t>
  </si>
  <si>
    <t>Lampila</t>
  </si>
  <si>
    <t>Tuu tuu tupakka</t>
  </si>
  <si>
    <t>Vanha vaari</t>
  </si>
  <si>
    <t>Syntymäpäivävalssi</t>
  </si>
  <si>
    <t>Tuomi</t>
  </si>
  <si>
    <t>Annikki</t>
  </si>
  <si>
    <t>Muistojen Pohjolassa</t>
  </si>
  <si>
    <t>Käyhkö</t>
  </si>
  <si>
    <t>KS-224</t>
  </si>
  <si>
    <t>Tellervo</t>
  </si>
  <si>
    <t>Malmsten</t>
  </si>
  <si>
    <t>Pikku prinssi päivänpaiste</t>
  </si>
  <si>
    <t>Tuohinen sormus</t>
  </si>
  <si>
    <t>Lennä mun lempeni laulu</t>
  </si>
  <si>
    <t>Koski</t>
  </si>
  <si>
    <t>Paljon toivon</t>
  </si>
  <si>
    <t>Lampela</t>
  </si>
  <si>
    <t>Laula kukko</t>
  </si>
  <si>
    <t>Syksyn laulu</t>
  </si>
  <si>
    <t>Finlandia</t>
  </si>
  <si>
    <t>YL</t>
  </si>
  <si>
    <t>Karjalan kunnailla</t>
  </si>
  <si>
    <t>Janne Parka</t>
  </si>
  <si>
    <t>Rakkaus ja rattaat</t>
  </si>
  <si>
    <t>Tango-unelma</t>
  </si>
  <si>
    <t>Pihlajanmaa</t>
  </si>
  <si>
    <t>Saarten laulu</t>
  </si>
  <si>
    <t>Kuningaskorbra</t>
  </si>
  <si>
    <t>Dippermouth blues</t>
  </si>
  <si>
    <t>Fenno jazz band</t>
  </si>
  <si>
    <t>That's a dixie</t>
  </si>
  <si>
    <t>Mamie ja miehet</t>
  </si>
  <si>
    <t>Anoranza</t>
  </si>
  <si>
    <t>Kaunis pesijätär</t>
  </si>
  <si>
    <t>Auringon noustessa</t>
  </si>
  <si>
    <t>Sirkkojen sinfonia</t>
  </si>
  <si>
    <t>Hawaiian rock</t>
  </si>
  <si>
    <t>Mitäs me kipparit</t>
  </si>
  <si>
    <t>Kesälesken blues</t>
  </si>
  <si>
    <t>Siboney</t>
  </si>
  <si>
    <t>Pieni sana vain</t>
  </si>
  <si>
    <t>Balladi Olavinlinnasta</t>
  </si>
  <si>
    <t>Salo</t>
  </si>
  <si>
    <t>Kyllikki</t>
  </si>
  <si>
    <t>Säkkijärven polkka</t>
  </si>
  <si>
    <t>Pieni punainen mökki</t>
  </si>
  <si>
    <t>Tanssiaisten jälkeen</t>
  </si>
  <si>
    <t>Maruzella</t>
  </si>
  <si>
    <t>Karpiomaa</t>
  </si>
  <si>
    <t>Punaruusut</t>
  </si>
  <si>
    <t>Enkelinkellot</t>
  </si>
  <si>
    <t>Tango Illuision</t>
  </si>
  <si>
    <t>Kolme pientä possua</t>
  </si>
  <si>
    <t>Tupa Kanadassa</t>
  </si>
  <si>
    <t>Tummia ruusuja</t>
  </si>
  <si>
    <t>Afrikan tähti</t>
  </si>
  <si>
    <t>Sylvian joululaulu</t>
  </si>
  <si>
    <t>Lehtinen</t>
  </si>
  <si>
    <t>Valkoisia sireenejä</t>
  </si>
  <si>
    <t>Vanha merimies</t>
  </si>
  <si>
    <t>Taivaan sinessä</t>
  </si>
  <si>
    <t>Venetsian karnevaalit</t>
  </si>
  <si>
    <t>Capri</t>
  </si>
  <si>
    <t>Viidakon rummut</t>
  </si>
  <si>
    <t>Kaunis gigolo</t>
  </si>
  <si>
    <t>Kellä kulta</t>
  </si>
  <si>
    <t>Aron lempeä</t>
  </si>
  <si>
    <t>Kekkonen</t>
  </si>
  <si>
    <t>Seiskari</t>
  </si>
  <si>
    <t>Suo sana vain</t>
  </si>
  <si>
    <t>Luutnantinsydämiä</t>
  </si>
  <si>
    <t>Hiljaa virtaa</t>
  </si>
  <si>
    <t>Tango jalousie</t>
  </si>
  <si>
    <t>Tuliharja</t>
  </si>
  <si>
    <t>Kiiltomatoidylli</t>
  </si>
  <si>
    <t>La cumparsita</t>
  </si>
  <si>
    <t>Lasisydän</t>
  </si>
  <si>
    <t>YHTEENSÄ</t>
  </si>
  <si>
    <t>LEVYÄ</t>
  </si>
  <si>
    <t>KESKIARVO MYYNTI</t>
  </si>
  <si>
    <t>Usko pois/Nyt kaikki toisetkin</t>
  </si>
  <si>
    <t>Suklaasydän/Puukko Mackie</t>
  </si>
  <si>
    <t>Mustat silmät/Sä kaunehin oot</t>
  </si>
  <si>
    <t>Laulu 2:sta pennistä/Jos sä saisit sydämein</t>
  </si>
  <si>
    <t>Niin paljon kuuluu rakkauteen/Monakuuran kuu</t>
  </si>
  <si>
    <t>Kasakkapartio/Oi Romeo</t>
  </si>
  <si>
    <t>Katinka/Tälläista on rakkaus</t>
  </si>
  <si>
    <t>Buona sera/Aito Italiano</t>
  </si>
  <si>
    <t>On katseessa äidin/Tanssi sydämeni</t>
  </si>
  <si>
    <t>Ikkunaprinsessa/Trumpetin tanssiinkutsu</t>
  </si>
  <si>
    <t>Portugalin huhtikuu/Seitsämän päivää</t>
  </si>
  <si>
    <t>Virta/Kuusi</t>
  </si>
  <si>
    <t>Etelämeren laulu/San Antonian ruusu</t>
  </si>
  <si>
    <t>Virta/Hilkka Tellervo</t>
  </si>
  <si>
    <t>Karjakko-Maikki/Rakkaus suuri rakkaus</t>
  </si>
  <si>
    <t>Ikävalko/Virta</t>
  </si>
  <si>
    <t>Kultaisen trumpetin laulu/Cubanacan</t>
  </si>
  <si>
    <t>Runne/Viljanen</t>
  </si>
  <si>
    <t>Itke sydämeni/Vanha riimu</t>
  </si>
  <si>
    <t>Tähti/Lönnqvist</t>
  </si>
  <si>
    <t>Vanhanaikaista rakkautta/St.Louis blues</t>
  </si>
  <si>
    <t>Lumikuva/Kaunis on luoksesi kaipuu</t>
  </si>
  <si>
    <t>Mamma, mies tuijottaa minua/Hawaijilainen sotalaulu</t>
  </si>
  <si>
    <t>Virta/Ikävalko</t>
  </si>
  <si>
    <t>Kuusi</t>
  </si>
  <si>
    <t>Seitsämän päivää</t>
  </si>
  <si>
    <t>Artisti</t>
  </si>
  <si>
    <t>Per levy myynti</t>
  </si>
  <si>
    <t>Myynnit YHT</t>
  </si>
  <si>
    <t>Levyt</t>
  </si>
  <si>
    <t>Myynti per levy</t>
  </si>
  <si>
    <t>TOP MYYNTI PER LEVY</t>
  </si>
  <si>
    <t>TOP MYYNTI LEVYT YHTEENSÄ</t>
  </si>
  <si>
    <t>Keskiarvo</t>
  </si>
  <si>
    <t>Levy määrä</t>
  </si>
  <si>
    <t>Luonasi jos oisin/Mallorca</t>
  </si>
  <si>
    <t>Maruzella/Delfiinipoika</t>
  </si>
  <si>
    <t>Kuiskaten/samura</t>
  </si>
  <si>
    <t>Janne Parka/Muistoja Melbournesta</t>
  </si>
  <si>
    <t>Laula kukko/Nukkumaan</t>
  </si>
  <si>
    <t>Siboney/Soi viulu soi</t>
  </si>
  <si>
    <t>Leikivä kuu/Länteenpäin vaunut</t>
  </si>
  <si>
    <t>Tähti (1955)</t>
  </si>
  <si>
    <t>Koivunen (1956</t>
  </si>
  <si>
    <t>Tähti (1956)</t>
  </si>
  <si>
    <t>Kappaleet</t>
  </si>
  <si>
    <t>Esittäjä</t>
  </si>
  <si>
    <t>Myynti total</t>
  </si>
  <si>
    <t>Levynnumero</t>
  </si>
  <si>
    <t>Armi/Menninkäisen maa</t>
  </si>
  <si>
    <t>Virta/Rautavaara</t>
  </si>
  <si>
    <t>Things ain't what they used to be/Poker dice blues</t>
  </si>
  <si>
    <t>Menninkäisen maa/Petteri Punakuono</t>
  </si>
  <si>
    <t>Rautavaara/Virta</t>
  </si>
  <si>
    <t>Syyskuun laulu/Padam padam</t>
  </si>
  <si>
    <t>Anna/Se syömmeesi kätke</t>
  </si>
  <si>
    <t>Lampenius/Hilkka-Tellervo</t>
  </si>
  <si>
    <t>Myynti total 52-59</t>
  </si>
  <si>
    <t>Tuulikkipolkka/Ruusun tuoksua</t>
  </si>
  <si>
    <t>Scandia-kvartetti/Malmsten E</t>
  </si>
  <si>
    <t>Nyt Pariisiin vaan/Nisse-Polkka</t>
  </si>
  <si>
    <t>Hyle/Ikävalko</t>
  </si>
  <si>
    <t>Joulupukki suukon sai/Jollei jouluna ole lunta</t>
  </si>
  <si>
    <t>Hilkka-Tellervo/Scandai orkesteri</t>
  </si>
  <si>
    <t>Lady be good/On the sunny side of the street</t>
  </si>
  <si>
    <t>Rössi/Stenberg</t>
  </si>
  <si>
    <t>Gideon/Englund/Katz</t>
  </si>
  <si>
    <t>Rosetta/Do you know what it means to miss New Orleans</t>
  </si>
  <si>
    <t>Laura/Itke sydämeni</t>
  </si>
  <si>
    <t>Nyt Pariisiin vaan/Tulitikkuparaati</t>
  </si>
  <si>
    <t>Hyle/Janrholt</t>
  </si>
  <si>
    <t>Hawaijilainen sotalaulu/Hawajilainen lomapäivä</t>
  </si>
  <si>
    <t>Nainen-mies/Käy kuinka kät</t>
  </si>
  <si>
    <t>Koivunen/Lampenius</t>
  </si>
  <si>
    <t>Sweet Georgia brown/Swingin the blue</t>
  </si>
  <si>
    <t>Suojärvi/Scandia all star</t>
  </si>
  <si>
    <t>Onko syytä itkeä/Sylin täydeltä päivänpaistetta</t>
  </si>
  <si>
    <t>Myllärin Irene/Kuin kaikki toisetkin</t>
  </si>
  <si>
    <t>Torppavanhus/Kuu, leivo ja ruusu</t>
  </si>
  <si>
    <t>Early autumn/Luistelijat</t>
  </si>
  <si>
    <t>There is a small hotel/Flying home</t>
  </si>
  <si>
    <t>Saaristolaisrakkautta/Valssiketju</t>
  </si>
  <si>
    <t>Armi/Kreikkalainen bolero</t>
  </si>
  <si>
    <t>Unikuva/Vanha koti</t>
  </si>
  <si>
    <t>Metro-tytöt/Väre</t>
  </si>
  <si>
    <t>Tuu tuu tupakka/Pieni veitikkani</t>
  </si>
  <si>
    <t>Syntymäpäivävalssi/Äitikultani</t>
  </si>
  <si>
    <t>Annikki/Hiljaisessa puistossa</t>
  </si>
  <si>
    <t>Syyspihlajan alla/Amargua</t>
  </si>
  <si>
    <t>Tähti/Viljanen</t>
  </si>
  <si>
    <t>Muistojen Pohjolassa/Tuntematon sotilas</t>
  </si>
  <si>
    <t>Sota-ajan tyttöjä 1/2</t>
  </si>
  <si>
    <t>Pikku prinssi päivänpaiste/Nukkeni pien</t>
  </si>
  <si>
    <t>Ikivihreitä ralleja -jenkkoja/tangoja</t>
  </si>
  <si>
    <t>Malmsten E/Tähti/Tuomi</t>
  </si>
  <si>
    <t>Koski/tähti/Tuomi</t>
  </si>
  <si>
    <t>Ikivihreitä ralleja -valsseja/fokseja</t>
  </si>
  <si>
    <t>Paljon toivon/Rakkaus ei palaa</t>
  </si>
  <si>
    <t>Suklaasydän/Puukko-Mackie</t>
  </si>
  <si>
    <t>Syksyn laulu/Tie</t>
  </si>
  <si>
    <t>Finlandia/Kotimaani ompi Suomi</t>
  </si>
  <si>
    <t>Karjalan kunnailla/Tuutulaulu</t>
  </si>
  <si>
    <t>Rakkaus ja rattaat/Vahvojen poikien ralli</t>
  </si>
  <si>
    <t>Havajilainen lomapäivä/Päivänpaistetta Hawajilta</t>
  </si>
  <si>
    <t>Tango-unelma/Joutsenen lähtö</t>
  </si>
  <si>
    <t>Saarten laulu/Tiikerihai</t>
  </si>
  <si>
    <t>Kuningaskorbra/Rakkauskirje</t>
  </si>
  <si>
    <t>Dippermouth blues/Fidgety feet</t>
  </si>
  <si>
    <t>That's a dixie/Royal Garden blues</t>
  </si>
  <si>
    <t>Mamie ja miehet/Vanhat toverit</t>
  </si>
  <si>
    <t>Anoranza/Cornelita</t>
  </si>
  <si>
    <t>Kaunis pesijätär/Senuelo</t>
  </si>
  <si>
    <t>Auringon noustessa/Kevät on tullut</t>
  </si>
  <si>
    <t>Sirkkojen sinfonia/Salzburgin kukkia</t>
  </si>
  <si>
    <t>Hawaiian rock/Aloha Oe</t>
  </si>
  <si>
    <t>Merimies Malmsten 1/2</t>
  </si>
  <si>
    <t>Kuiskaten/Samum</t>
  </si>
  <si>
    <t>Kesälesken blues/Iltaloma Suezilla</t>
  </si>
  <si>
    <t>Pieni sana vain/Buona sera</t>
  </si>
  <si>
    <t>Hilpeä paimenhuilu/Kotiin kun saapuisin illoin</t>
  </si>
  <si>
    <t>Suosittuja iskelmiä -valssit/foksit</t>
  </si>
  <si>
    <t>Suosittuja iskelmiä -tangot/baionit</t>
  </si>
  <si>
    <t>Kyllikki/Metsäkukkia</t>
  </si>
  <si>
    <t>Säkkijärven polkka/Isoisän polkkaketju</t>
  </si>
  <si>
    <t>Poika varjoisalta kujalta/Jim, Jouni ja Joonas</t>
  </si>
  <si>
    <t>Pieni punainen mökki/Musta-Pekka</t>
  </si>
  <si>
    <t>Tanssiaisten jälkeen/Valssi menneiltä ajoilta</t>
  </si>
  <si>
    <t>Ilta Santa Cruzissa/Rakkauskirjeitä hiekalla</t>
  </si>
  <si>
    <t>Kipparikvartetti tangokimara 1/2</t>
  </si>
  <si>
    <t>Enkelinkellot/Nisse-polkka</t>
  </si>
  <si>
    <t>Kipparikvartetti tangokimara 3/4</t>
  </si>
  <si>
    <t>Valkea joulu/Kulkuset</t>
  </si>
  <si>
    <t>Tähti/Koivunen</t>
  </si>
  <si>
    <t>Kolme pientä possua/Kippari-Kalle</t>
  </si>
  <si>
    <t>Tupa Kanadassa/Kuutamossa sulle laulan</t>
  </si>
  <si>
    <t>Tummia ruusuja/Muistojen virta</t>
  </si>
  <si>
    <t>Afrikan tähti/Maria Dolores</t>
  </si>
  <si>
    <t>Sylvian joululaulu/Heinillä härkien kaukalon</t>
  </si>
  <si>
    <t>Minnetonkan laineiden laulu/Kaarina ja kuningas</t>
  </si>
  <si>
    <t>Valkoisia sireenejä/Olet kohtaloni</t>
  </si>
  <si>
    <t>Virtanen/Kinnunen</t>
  </si>
  <si>
    <t>Vanha merimies/Kalle Kekkonen</t>
  </si>
  <si>
    <t>Taivaan sinessä/Rakkauden jos saisinkaan</t>
  </si>
  <si>
    <t>Venetsian karnevaalit/Soitto saapuu kaunpunkiin</t>
  </si>
  <si>
    <t>Capri/Alla tähdenlennon</t>
  </si>
  <si>
    <t>Viidakon rummut/Tiedän</t>
  </si>
  <si>
    <t>Kaunis gigolo/Ensi kerran</t>
  </si>
  <si>
    <t>Virtanen/Tähti</t>
  </si>
  <si>
    <t>Kellä kulta, sillä onni/Pieni sininen mies</t>
  </si>
  <si>
    <t>Aron lempeä/Aina päivä ei paistaa voi</t>
  </si>
  <si>
    <t>Kekkonen/Virtanen/Kipparikvartetti</t>
  </si>
  <si>
    <t>Ikivihreitä ralleja -fokseja/tangoja</t>
  </si>
  <si>
    <t>Tähti/Kipparikvartetti/Karpiomaa</t>
  </si>
  <si>
    <t>Ikivihreitä ralleja -fokseja/valsseja</t>
  </si>
  <si>
    <t>Kipparikvartetti/Kinnunen</t>
  </si>
  <si>
    <t>Pustan sävel/sua päästä en</t>
  </si>
  <si>
    <t>Hiljaa virtaa joki/Vain yksi on</t>
  </si>
  <si>
    <t>Ikivihreitä ralleja -tangoja/valsseja</t>
  </si>
  <si>
    <t>Karpiomaa/Tähti</t>
  </si>
  <si>
    <t>Ikivihreitä ralleja -valsseja/jenkkoja</t>
  </si>
  <si>
    <t>Virtanen/Karpiomaa/Tuomi/Kipparikvartetti</t>
  </si>
  <si>
    <t>Tango jalousie/Tango Poesie</t>
  </si>
  <si>
    <t>Tuliharja/Niin rakastunut sinuun</t>
  </si>
  <si>
    <t>Augustin/Rakkauden viulu</t>
  </si>
  <si>
    <t>Pieni kukkanen/Länne kultakaupunki</t>
  </si>
  <si>
    <t>Kiiltomatoidylli/Neidon oikut</t>
  </si>
  <si>
    <t>Koivunen/Kinnunen</t>
  </si>
  <si>
    <t>Tummat silmät/Kun kukkii puiston puut</t>
  </si>
  <si>
    <t>La cumparsita/Meidän maailmamme</t>
  </si>
  <si>
    <t>Lasisydän/Oi Sarracino</t>
  </si>
  <si>
    <t>Nukkumatti/Petteri punakuono</t>
  </si>
  <si>
    <t>Tähti (28.9.1955)</t>
  </si>
  <si>
    <t>Karpiomaa (26.8.57)</t>
  </si>
  <si>
    <t>Sing song Sisters (4.7.57)</t>
  </si>
  <si>
    <t>Virtanen (5.7.58)</t>
  </si>
  <si>
    <t>Howing waltz/Istanbul</t>
  </si>
  <si>
    <t>Leijona</t>
  </si>
  <si>
    <t>TS-501</t>
  </si>
  <si>
    <t>Unten mailla/Monta kertaa</t>
  </si>
  <si>
    <t>Pappani mun/Parin vaihto</t>
  </si>
  <si>
    <t>Vanhoja venäläisiä valsseja</t>
  </si>
  <si>
    <t>Uinuvalla laguunilla/Unelma</t>
  </si>
  <si>
    <t>1955 myydyimmät Kappaleet</t>
  </si>
  <si>
    <t>Esittäjä 55</t>
  </si>
  <si>
    <t>Myynti 55</t>
  </si>
  <si>
    <t>Myynti 56</t>
  </si>
  <si>
    <t>Esittäjä 56</t>
  </si>
  <si>
    <t>Kappaleet 56</t>
  </si>
  <si>
    <t>Kappaleet 57</t>
  </si>
  <si>
    <t>Esittäjä 57</t>
  </si>
  <si>
    <t>Myynti 57</t>
  </si>
  <si>
    <t>1954 myydyimmät kappaleet</t>
  </si>
  <si>
    <t>Esittää 54</t>
  </si>
  <si>
    <t>Myynti 54</t>
  </si>
  <si>
    <t>Kappaleet 58</t>
  </si>
  <si>
    <t>Esittäjä 58</t>
  </si>
  <si>
    <t>Myynti 58</t>
  </si>
  <si>
    <t>Kuolleet lehdet/Lemmenkaruselli</t>
  </si>
  <si>
    <t>Muurari/Hawii-idylli</t>
  </si>
  <si>
    <t>Tonavan aallot/Hyljätty rakkaus</t>
  </si>
  <si>
    <t>Pohjolan yö/Salakuljettajan lalu</t>
  </si>
  <si>
    <t>Rööperin Raija/Terveisiä Afrikasta</t>
  </si>
  <si>
    <t>Hurmio/Sydän harhateillä</t>
  </si>
  <si>
    <t>Tuulikannel/Sulle laulan mä hiljaa</t>
  </si>
  <si>
    <t>Savolainen fakiiri/Turun surusilmä</t>
  </si>
  <si>
    <t>Levytyspäivä</t>
  </si>
  <si>
    <t>Peter Gray/Rio Granden satamassa</t>
  </si>
  <si>
    <t>Gideon/Eglund/Katz</t>
  </si>
  <si>
    <t>Myyti total</t>
  </si>
  <si>
    <t>Sing Song sisters</t>
  </si>
  <si>
    <t>Rautavaara</t>
  </si>
  <si>
    <t>Lönqvist</t>
  </si>
  <si>
    <t>Malmsten E</t>
  </si>
  <si>
    <t>Malmsten G</t>
  </si>
  <si>
    <t>Ikävalko</t>
  </si>
  <si>
    <t>Scandia ork/all star</t>
  </si>
  <si>
    <t>Koski/Tähti/Tuomi</t>
  </si>
  <si>
    <t>Sing song sisters</t>
  </si>
  <si>
    <t>Minka/Sävel rakkauden</t>
  </si>
  <si>
    <t>Muurari/Emma (51/54)</t>
  </si>
  <si>
    <t>Vanhan merimiehen kapakassa/Turun surusilmä (51/52)</t>
  </si>
  <si>
    <t>Rio Granden merirosvot/Pohjolan yö (52)</t>
  </si>
  <si>
    <t>Uinuvalla laguunilla/Tonavan aallot (50)</t>
  </si>
  <si>
    <t>Lazzarella/Etkö vois alkaa uudelleen</t>
  </si>
  <si>
    <t>Illalla illalla/Sylissäs sun</t>
  </si>
  <si>
    <t>Afrikan tähti/Yllin kyllin</t>
  </si>
  <si>
    <t>Pekka Lipposen jenkka/Honi kaua wiki wiki</t>
  </si>
  <si>
    <t>Vanha mustalainen/Maria Dolores</t>
  </si>
  <si>
    <t>Hand/Maliziuella</t>
  </si>
  <si>
    <t>Nukkuos rakkain/Tango notturno</t>
  </si>
  <si>
    <t>Unissakävelijä/Lannevannelaulu</t>
  </si>
  <si>
    <t>Kipparikvartetti/Lavi</t>
  </si>
  <si>
    <t>Ojonen</t>
  </si>
  <si>
    <t>Kinnunen (25.1.58)</t>
  </si>
  <si>
    <t>Kinnunen (3.11.58)</t>
  </si>
  <si>
    <t>Lavi</t>
  </si>
  <si>
    <t>330 etenpäin 45 kierrosta, paitsi 343</t>
  </si>
  <si>
    <t>Jätkän serenadi/Jätkän lautanti</t>
  </si>
  <si>
    <t>Tangopotpuri 1 ja 2</t>
  </si>
  <si>
    <t>Tango Illuision/Höstdrömmar</t>
  </si>
  <si>
    <t>Tanssi kanssani/Hopla hei (51)</t>
  </si>
  <si>
    <t>Kapakann pikkuinen Liisi/Vanha merirosvon kapakassa</t>
  </si>
  <si>
    <t>Unikuva/Vanha kotini</t>
  </si>
  <si>
    <t>Hawajin kellot/Aba-daba viidakkoromantiikkaan 52)</t>
  </si>
  <si>
    <t>Tänään-huomenna/Domino (52)</t>
  </si>
  <si>
    <t>Kesäilta/Talonpoikaisserenadi (52)</t>
  </si>
  <si>
    <t>Vanhohen piikojen laulu/Sadalla kitaralla (52)</t>
  </si>
  <si>
    <t>Adios Muchachos/Meren aalloilla (52)</t>
  </si>
  <si>
    <t>Pariisin sydän/Päivän puolella vuotta (52)</t>
  </si>
  <si>
    <t>Syksyn tuuli/Vanha musta (52)</t>
  </si>
  <si>
    <t>Vain erehdyksessä/Syntiä ei se liene (52)</t>
  </si>
  <si>
    <t>Juhannuspolkka/Mitä sen on väliä (53)</t>
  </si>
  <si>
    <t xml:space="preserve">Tismomingo blues/Tenderly </t>
  </si>
  <si>
    <t>Myrskyn jälkeen/Pariisin taivaan alla (53)</t>
  </si>
  <si>
    <t>Margaret/Hanurini kertoo Argentiinasta (53)</t>
  </si>
  <si>
    <t>Pesti-jenkka/Kurkistin heilini akkunasta (53)</t>
  </si>
  <si>
    <t>Pieni kohtaloni/Kun tavataan niin hymyillään (53)</t>
  </si>
  <si>
    <t>Emma/Villiruusu (53)</t>
  </si>
  <si>
    <t xml:space="preserve">Tähti </t>
  </si>
  <si>
    <t xml:space="preserve">Koivunen </t>
  </si>
  <si>
    <t>Kappaleet 59</t>
  </si>
  <si>
    <t>Esittäjä 59</t>
  </si>
  <si>
    <t>Myynti 59</t>
  </si>
  <si>
    <t>Domino/Kuolleet lehdet</t>
  </si>
  <si>
    <t>Lazzarella/Etkö voisi alkaa uudelleen</t>
  </si>
  <si>
    <t>Jambalaya/Missä ovat sanasi</t>
  </si>
  <si>
    <t>Sataman valot/Särkyneen toiveenkatu</t>
  </si>
  <si>
    <t>Kuinka paljon rakkautta/Äidin tyttö</t>
  </si>
  <si>
    <t>Total myynti</t>
  </si>
  <si>
    <t>Humppa-veikot</t>
  </si>
  <si>
    <t>Numero</t>
  </si>
  <si>
    <t>Kekkonen/Four cats</t>
  </si>
  <si>
    <t>Koivunen/Kinnunen L/Kekkonen</t>
  </si>
  <si>
    <t>Lessig/Kinnunen L</t>
  </si>
  <si>
    <t>Lessing/Kinnunen L</t>
  </si>
  <si>
    <t>Kekkonen/Kinnun L/Tähti/Koivunen</t>
  </si>
  <si>
    <t>Jämsen</t>
  </si>
  <si>
    <t>Koivunen/Virtanen</t>
  </si>
  <si>
    <t>Kinnunen L</t>
  </si>
  <si>
    <t>Kinnunen L/Kekkonen</t>
  </si>
  <si>
    <t>Soininen</t>
  </si>
  <si>
    <t>Virtanen/Karpiomaa</t>
  </si>
  <si>
    <t xml:space="preserve">Malmsten G </t>
  </si>
  <si>
    <t>Tähti/Virta</t>
  </si>
  <si>
    <t>Humppaveikot</t>
  </si>
  <si>
    <t>Kinnunen L/Koivunen/Kekkonen</t>
  </si>
  <si>
    <t>Kekkonen "Ei koskaan sunnuntaisin"</t>
  </si>
  <si>
    <t>Saukki ja Oravat</t>
  </si>
  <si>
    <t>Tukiainen</t>
  </si>
  <si>
    <t>Tuuri</t>
  </si>
  <si>
    <t>Kekkonen/Kinnunen L/Karpiomaa</t>
  </si>
  <si>
    <t>Karpiomaa/Holm</t>
  </si>
  <si>
    <t>Humppa-veikot "Konsertissa"</t>
  </si>
  <si>
    <t>Kinnunen L/Koivunen</t>
  </si>
  <si>
    <t>Kekkonen/Kinnunen L</t>
  </si>
  <si>
    <t>Koivunen/Virtanen/Tähti</t>
  </si>
  <si>
    <t>Kekkonen/Koivunen</t>
  </si>
  <si>
    <t>Koivunen/Karpiomaa/Tähti/Kekkonen</t>
  </si>
  <si>
    <t>Koivunen/Karpiomaa</t>
  </si>
  <si>
    <t>Koivunen/Kinnunen L</t>
  </si>
  <si>
    <t>Koivunen/Kekkonen/Kinnunen/Tähti</t>
  </si>
  <si>
    <t>Tähti "Pustan sävel"</t>
  </si>
  <si>
    <t>Solistiseitsikko Otava</t>
  </si>
  <si>
    <t>Pokela</t>
  </si>
  <si>
    <t>Kipparikvartetti/Tuomi/Tähti/Karpiomaa/Virtanen</t>
  </si>
  <si>
    <t>Kipparikvartetti/Tuomi/Tähti/Karpiomaa</t>
  </si>
  <si>
    <t>Oprpi/Tuominen</t>
  </si>
  <si>
    <t>Jazz band, monia soittajia</t>
  </si>
  <si>
    <t>Tähti/Karpiomaa</t>
  </si>
  <si>
    <t>Saarits/Lehtinen</t>
  </si>
  <si>
    <t>Koivunen/Salo</t>
  </si>
  <si>
    <t>Koivunen/Salo "Kasakkapartio"</t>
  </si>
  <si>
    <t>Budapestin yössä, Minnetonkan laineiden kuu, Rakkauskirjeitä hiekassa, Luna lunere</t>
  </si>
  <si>
    <t>Tähti/Kinnunen</t>
  </si>
  <si>
    <t>Sing Song/Karpiomaa</t>
  </si>
  <si>
    <t>Minka, Sävel rakkauden, Lazzarella, Etkö voisi alkaa uudelleen?</t>
  </si>
  <si>
    <t>Koivunen/Sing song/Tähti</t>
  </si>
  <si>
    <t>Sing Song Sisters/Karpiomaa "Tytöt laulavat"</t>
  </si>
  <si>
    <t>Ara/Lehtinen</t>
  </si>
  <si>
    <t>Halonen</t>
  </si>
  <si>
    <t>Tähti/Gideon</t>
  </si>
  <si>
    <t>Sing Song Sisters/Lampila</t>
  </si>
  <si>
    <t>Kuiskaten/Kotiin kun saapuisin illoin/Balladi Olavinlinnasta/Aurinko, tähdet ja kuu</t>
  </si>
  <si>
    <t>Tähti "Balladi Olavin linnasta"</t>
  </si>
  <si>
    <t>Rakkaus/Jos sä saisit sydämein/Manakoran kuu/Viisi villiruusa sinulle</t>
  </si>
  <si>
    <t>Suklaasydän/Puukko-Mackie/St. Louis blues/Vanhanaikaista rakkautta</t>
  </si>
  <si>
    <t>Kuningaskobra/Päivänpaistetta Hawajilla/Hawajilainen lomapäivä/Manulan kuu</t>
  </si>
  <si>
    <t>Virta/Ikävalko/Hilkka/Scandia-kvartetti</t>
  </si>
  <si>
    <t>Ojonen/Siren "Finlandssvenska Sångerskor"</t>
  </si>
  <si>
    <t>Siren</t>
  </si>
  <si>
    <t>Kasvot sumussa/Niin paljon kuuluu rakkauteen/On katseessä äidin/Tanssi sydämein</t>
  </si>
  <si>
    <t>Tähti "Tähti ja Runne orkestereineen"</t>
  </si>
  <si>
    <t>Käyhkö/Malmsten G</t>
  </si>
  <si>
    <t>Malmsten E/Tähti/Tuomi "Ikivihreitä ralleja"</t>
  </si>
  <si>
    <t>Lampila "Laulaa lapsille"</t>
  </si>
  <si>
    <t>Syyspihlajan alla/Muistatkos Monrepos'n/Pieni sydän/Sininen kangastus</t>
  </si>
  <si>
    <t>Kuusi/Ojonen/Lampila/Marianne</t>
  </si>
  <si>
    <t>Ikävalko/Haapanen/Lavi</t>
  </si>
  <si>
    <t>de Godzinsky</t>
  </si>
  <si>
    <t>Itke sydämeni/Onko syytä itkeä, El baion, Sylin täydeltä onnea</t>
  </si>
  <si>
    <t>Tähti "Annikki Tähti esittäytyy"</t>
  </si>
  <si>
    <t>Virta "Olavi Virta matkustaa"</t>
  </si>
  <si>
    <t>Malmsten G "Kiertueella"</t>
  </si>
  <si>
    <t>Ojonen "Maire Ojonen muistelee 2"</t>
  </si>
  <si>
    <t>Ojonen "Maire Ojonen muistelee 1"</t>
  </si>
  <si>
    <t>Rautavaara "Tapio Rautavaaran valioita 2"</t>
  </si>
  <si>
    <t>Rautavaara "Tapio Rautavaaran valioita 1"</t>
  </si>
  <si>
    <t>Metro-tytöt</t>
  </si>
  <si>
    <t>Jam-session</t>
  </si>
  <si>
    <t>Scandia All-Star</t>
  </si>
  <si>
    <t>Viljanen/Hallberg</t>
  </si>
  <si>
    <t>SEP sc</t>
  </si>
  <si>
    <t>Harrasta joulua</t>
  </si>
  <si>
    <t>Lehtinen/Kuusisto</t>
  </si>
  <si>
    <t>Kuusisto</t>
  </si>
  <si>
    <t>Lauantain suositut 1</t>
  </si>
  <si>
    <t>Koivunen/Kekkonen/Tähti</t>
  </si>
  <si>
    <t>Koivunen/Kekkonen/Kinnunen L/tähti</t>
  </si>
  <si>
    <t>Ikivihreitä ralleja</t>
  </si>
  <si>
    <t>Tähti/Kipparikvartetti/Karpiomaa/Viljanen/Virtanen/Tuomi</t>
  </si>
  <si>
    <t>A La Bella Italia</t>
  </si>
  <si>
    <t>Viani</t>
  </si>
  <si>
    <t>Latinalais-amerikkalaista</t>
  </si>
  <si>
    <t>Joulunkellojen soidessa</t>
  </si>
  <si>
    <t>Pasiöa-Tamminen/Saarits</t>
  </si>
  <si>
    <t>Lasten maailma</t>
  </si>
  <si>
    <t>Virta/Kipparikvartetti/Lampila/Rautavaara</t>
  </si>
  <si>
    <t>Suomalaista huumoria</t>
  </si>
  <si>
    <t>Jurva/Malmsten G/Käyhkö/Ikävalko</t>
  </si>
  <si>
    <t>Tangokimara</t>
  </si>
  <si>
    <t>Tähti/Koivunen/Karpiomaa/Kinnunen L</t>
  </si>
  <si>
    <t>Laulu 2:sta pennistä, Havaijilainen lomapäivä, Niin paljon kuuluu rakkauteen, Mamulan kuu, Kotiin kun saapuisin illoin, Samum, Sylin täydeltä päivänpaistetta, Kasvot sumussa, Tanssi sydämein, Balladi Olavinlinnasta</t>
  </si>
  <si>
    <t>(Muistatkos Monrepos', Kuiskaten, Itke Sydämeni, Manakooran kuu, Hilpeäpaimenhuilu, Leikkivä kuu, On katseessa äidäin, Jos sä saisit sydämein, Rakkaus, Kuningaskobra</t>
  </si>
  <si>
    <t>Finnish dixieland jazz</t>
  </si>
  <si>
    <t>Fenno jazz bänd</t>
  </si>
  <si>
    <t>Foksisikermä</t>
  </si>
  <si>
    <t>Tuomi/Tähti/Malmsten E</t>
  </si>
  <si>
    <t>YO-laulajat</t>
  </si>
  <si>
    <t>Nimi</t>
  </si>
  <si>
    <t>Esitäjät</t>
  </si>
  <si>
    <t>SLP</t>
  </si>
  <si>
    <t>Yhteensä</t>
  </si>
  <si>
    <t>Haapanen</t>
  </si>
  <si>
    <t>Larrea</t>
  </si>
  <si>
    <t>Kipparikvartetti/Rautavaara</t>
  </si>
  <si>
    <t>Metro-tytöt/Marianne</t>
  </si>
  <si>
    <t>Rengasmatkalaiset</t>
  </si>
  <si>
    <t>Kipparikvaretti</t>
  </si>
  <si>
    <t>Pic-Up Jazz Group</t>
  </si>
  <si>
    <t>Dixon</t>
  </si>
  <si>
    <t>Suuri Tanssiork.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</si>
</sst>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ill="1" applyBorder="1"/>
    <xf numFmtId="0" fontId="0" fillId="0" borderId="3" xfId="0" applyFill="1" applyBorder="1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0" fillId="2" borderId="0" xfId="0" applyFont="1" applyFill="1"/>
    <xf numFmtId="0" fontId="0" fillId="3" borderId="0" xfId="0" applyFill="1"/>
    <xf numFmtId="0" fontId="0" fillId="2" borderId="0" xfId="0" applyFont="1" applyFill="1" applyBorder="1"/>
    <xf numFmtId="0" fontId="0" fillId="4" borderId="0" xfId="0" applyFill="1"/>
    <xf numFmtId="0" fontId="1" fillId="0" borderId="0" xfId="0" applyFont="1" applyBorder="1"/>
    <xf numFmtId="0" fontId="1" fillId="4" borderId="0" xfId="0" applyFont="1" applyFill="1"/>
    <xf numFmtId="0" fontId="0" fillId="0" borderId="14" xfId="0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5" xfId="0" applyBorder="1"/>
    <xf numFmtId="0" fontId="7" fillId="0" borderId="0" xfId="0" applyFont="1"/>
    <xf numFmtId="0" fontId="8" fillId="0" borderId="16" xfId="0" applyFont="1" applyBorder="1"/>
    <xf numFmtId="0" fontId="8" fillId="0" borderId="17" xfId="0" applyFont="1" applyBorder="1"/>
    <xf numFmtId="0" fontId="1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11" fillId="5" borderId="0" xfId="0" applyFont="1" applyFill="1"/>
    <xf numFmtId="0" fontId="8" fillId="5" borderId="0" xfId="0" applyFont="1" applyFill="1"/>
    <xf numFmtId="0" fontId="12" fillId="5" borderId="0" xfId="0" applyFont="1" applyFill="1"/>
    <xf numFmtId="0" fontId="1" fillId="5" borderId="14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D8A41-57A4-4E04-89B6-383D3D4218E2}">
  <dimension ref="A1:R126"/>
  <sheetViews>
    <sheetView topLeftCell="E1" workbookViewId="0">
      <selection activeCell="F125" sqref="F125"/>
    </sheetView>
  </sheetViews>
  <sheetFormatPr defaultRowHeight="14.5" x14ac:dyDescent="0.35"/>
  <cols>
    <col min="2" max="2" width="38" bestFit="1" customWidth="1"/>
    <col min="3" max="3" width="16.36328125" bestFit="1" customWidth="1"/>
    <col min="4" max="4" width="15.54296875" bestFit="1" customWidth="1"/>
    <col min="6" max="6" width="32.453125" customWidth="1"/>
    <col min="7" max="7" width="17.81640625" bestFit="1" customWidth="1"/>
    <col min="12" max="12" width="19.26953125" bestFit="1" customWidth="1"/>
    <col min="14" max="14" width="10.26953125" bestFit="1" customWidth="1"/>
    <col min="15" max="15" width="25.90625" customWidth="1"/>
  </cols>
  <sheetData>
    <row r="1" spans="1:16" ht="15" thickBot="1" x14ac:dyDescent="0.4">
      <c r="A1" t="s">
        <v>202</v>
      </c>
      <c r="B1" t="s">
        <v>199</v>
      </c>
      <c r="C1" t="s">
        <v>200</v>
      </c>
      <c r="D1" t="s">
        <v>201</v>
      </c>
      <c r="E1" t="s">
        <v>424</v>
      </c>
      <c r="F1" t="s">
        <v>199</v>
      </c>
      <c r="G1" t="s">
        <v>180</v>
      </c>
      <c r="H1" t="s">
        <v>181</v>
      </c>
      <c r="I1" t="s">
        <v>182</v>
      </c>
      <c r="J1" t="s">
        <v>183</v>
      </c>
      <c r="K1" t="s">
        <v>184</v>
      </c>
      <c r="L1" s="6" t="s">
        <v>185</v>
      </c>
      <c r="M1" s="7" t="s">
        <v>187</v>
      </c>
      <c r="N1" s="8" t="s">
        <v>188</v>
      </c>
      <c r="O1" s="18" t="s">
        <v>186</v>
      </c>
      <c r="P1" s="8"/>
    </row>
    <row r="2" spans="1:16" x14ac:dyDescent="0.35">
      <c r="A2" s="6">
        <v>238</v>
      </c>
      <c r="B2" s="7" t="s">
        <v>36</v>
      </c>
      <c r="C2" s="7" t="s">
        <v>196</v>
      </c>
      <c r="D2" s="8">
        <v>34620</v>
      </c>
      <c r="E2">
        <v>264</v>
      </c>
      <c r="F2" t="s">
        <v>104</v>
      </c>
      <c r="G2" t="s">
        <v>103</v>
      </c>
      <c r="H2">
        <v>271</v>
      </c>
      <c r="L2" s="9" t="s">
        <v>17</v>
      </c>
      <c r="M2" s="4">
        <v>6587</v>
      </c>
      <c r="N2" s="10">
        <v>25</v>
      </c>
      <c r="O2" s="9" t="s">
        <v>17</v>
      </c>
      <c r="P2" s="10">
        <v>164665</v>
      </c>
    </row>
    <row r="3" spans="1:16" x14ac:dyDescent="0.35">
      <c r="A3" s="9">
        <v>247</v>
      </c>
      <c r="B3" s="4" t="s">
        <v>155</v>
      </c>
      <c r="C3" s="4" t="s">
        <v>18</v>
      </c>
      <c r="D3" s="10">
        <v>28333</v>
      </c>
      <c r="E3">
        <v>263</v>
      </c>
      <c r="F3" t="s">
        <v>102</v>
      </c>
      <c r="G3" t="s">
        <v>103</v>
      </c>
      <c r="H3">
        <v>170</v>
      </c>
      <c r="I3">
        <f>SUM(H2:H3)</f>
        <v>441</v>
      </c>
      <c r="L3" s="9" t="s">
        <v>18</v>
      </c>
      <c r="M3" s="4">
        <v>5866</v>
      </c>
      <c r="N3" s="10">
        <v>12</v>
      </c>
      <c r="O3" s="9" t="s">
        <v>18</v>
      </c>
      <c r="P3" s="10">
        <v>70393</v>
      </c>
    </row>
    <row r="4" spans="1:16" x14ac:dyDescent="0.35">
      <c r="A4" s="9">
        <v>268</v>
      </c>
      <c r="B4" s="4" t="s">
        <v>42</v>
      </c>
      <c r="C4" s="4" t="s">
        <v>198</v>
      </c>
      <c r="D4" s="10">
        <v>25197</v>
      </c>
      <c r="E4">
        <v>219</v>
      </c>
      <c r="F4" t="s">
        <v>62</v>
      </c>
      <c r="G4" t="s">
        <v>56</v>
      </c>
      <c r="H4">
        <v>1905</v>
      </c>
      <c r="L4" s="9" t="s">
        <v>178</v>
      </c>
      <c r="M4" s="4">
        <v>3728</v>
      </c>
      <c r="N4" s="10">
        <v>1</v>
      </c>
      <c r="O4" s="9" t="s">
        <v>22</v>
      </c>
      <c r="P4" s="10">
        <v>6417</v>
      </c>
    </row>
    <row r="5" spans="1:16" x14ac:dyDescent="0.35">
      <c r="A5" s="9">
        <v>256</v>
      </c>
      <c r="B5" s="4" t="s">
        <v>41</v>
      </c>
      <c r="C5" s="4" t="s">
        <v>198</v>
      </c>
      <c r="D5" s="10">
        <v>24746</v>
      </c>
      <c r="E5">
        <v>215</v>
      </c>
      <c r="F5" t="s">
        <v>55</v>
      </c>
      <c r="G5" t="s">
        <v>56</v>
      </c>
      <c r="H5">
        <v>1292</v>
      </c>
      <c r="L5" s="9" t="s">
        <v>45</v>
      </c>
      <c r="M5" s="4">
        <v>1433</v>
      </c>
      <c r="N5" s="10">
        <v>3</v>
      </c>
      <c r="O5" s="9" t="s">
        <v>16</v>
      </c>
      <c r="P5" s="10">
        <v>6345</v>
      </c>
    </row>
    <row r="6" spans="1:16" x14ac:dyDescent="0.35">
      <c r="A6" s="9">
        <v>258</v>
      </c>
      <c r="B6" s="4" t="s">
        <v>156</v>
      </c>
      <c r="C6" s="4" t="s">
        <v>197</v>
      </c>
      <c r="D6" s="10">
        <v>16407</v>
      </c>
      <c r="E6">
        <v>271</v>
      </c>
      <c r="F6" t="s">
        <v>110</v>
      </c>
      <c r="G6" t="s">
        <v>56</v>
      </c>
      <c r="H6">
        <v>1015</v>
      </c>
      <c r="L6" s="9" t="s">
        <v>122</v>
      </c>
      <c r="M6" s="4">
        <v>1423</v>
      </c>
      <c r="N6" s="10">
        <v>4</v>
      </c>
      <c r="O6" s="9" t="s">
        <v>122</v>
      </c>
      <c r="P6" s="10">
        <v>5690</v>
      </c>
    </row>
    <row r="7" spans="1:16" x14ac:dyDescent="0.35">
      <c r="A7" s="9">
        <v>298</v>
      </c>
      <c r="B7" s="4" t="s">
        <v>43</v>
      </c>
      <c r="C7" s="4" t="s">
        <v>17</v>
      </c>
      <c r="D7" s="10">
        <v>15361</v>
      </c>
      <c r="E7">
        <v>261</v>
      </c>
      <c r="F7" t="s">
        <v>101</v>
      </c>
      <c r="G7" t="s">
        <v>56</v>
      </c>
      <c r="H7">
        <v>794</v>
      </c>
      <c r="L7" s="9" t="s">
        <v>54</v>
      </c>
      <c r="M7" s="4">
        <v>1377</v>
      </c>
      <c r="N7" s="10">
        <v>4</v>
      </c>
      <c r="O7" s="9" t="s">
        <v>56</v>
      </c>
      <c r="P7" s="10">
        <v>5559</v>
      </c>
    </row>
    <row r="8" spans="1:16" ht="15" thickBot="1" x14ac:dyDescent="0.4">
      <c r="A8" s="9">
        <v>229</v>
      </c>
      <c r="B8" s="4" t="s">
        <v>157</v>
      </c>
      <c r="C8" s="4" t="s">
        <v>196</v>
      </c>
      <c r="D8" s="10">
        <v>15216</v>
      </c>
      <c r="E8">
        <v>260</v>
      </c>
      <c r="F8" t="s">
        <v>100</v>
      </c>
      <c r="G8" t="s">
        <v>56</v>
      </c>
      <c r="H8">
        <v>553</v>
      </c>
      <c r="I8">
        <f>SUM(H4:H8)</f>
        <v>5559</v>
      </c>
      <c r="J8">
        <v>5</v>
      </c>
      <c r="K8">
        <f>I8/J8</f>
        <v>1111.8</v>
      </c>
      <c r="L8" s="9" t="s">
        <v>84</v>
      </c>
      <c r="M8" s="4">
        <v>1302</v>
      </c>
      <c r="N8" s="10">
        <v>2</v>
      </c>
      <c r="O8" s="14" t="s">
        <v>54</v>
      </c>
      <c r="P8" s="16">
        <v>5506</v>
      </c>
    </row>
    <row r="9" spans="1:16" x14ac:dyDescent="0.35">
      <c r="A9" s="9">
        <v>246</v>
      </c>
      <c r="B9" s="4" t="s">
        <v>40</v>
      </c>
      <c r="C9" s="4" t="s">
        <v>198</v>
      </c>
      <c r="D9" s="10">
        <v>9202</v>
      </c>
      <c r="E9">
        <v>212</v>
      </c>
      <c r="F9" t="s">
        <v>50</v>
      </c>
      <c r="G9" t="s">
        <v>51</v>
      </c>
      <c r="H9">
        <v>1035</v>
      </c>
      <c r="I9">
        <f>469+1035</f>
        <v>1504</v>
      </c>
      <c r="J9">
        <v>2</v>
      </c>
      <c r="K9">
        <f>I9/2</f>
        <v>752</v>
      </c>
      <c r="L9" s="9" t="s">
        <v>22</v>
      </c>
      <c r="M9" s="4">
        <v>1283</v>
      </c>
      <c r="N9" s="10">
        <v>5</v>
      </c>
    </row>
    <row r="10" spans="1:16" x14ac:dyDescent="0.35">
      <c r="A10" s="9">
        <v>248</v>
      </c>
      <c r="B10" s="4" t="s">
        <v>158</v>
      </c>
      <c r="C10" s="4" t="s">
        <v>17</v>
      </c>
      <c r="D10" s="10">
        <v>6539</v>
      </c>
      <c r="E10">
        <v>218</v>
      </c>
      <c r="F10" t="s">
        <v>60</v>
      </c>
      <c r="G10" t="s">
        <v>61</v>
      </c>
      <c r="H10">
        <v>135</v>
      </c>
      <c r="I10">
        <v>135</v>
      </c>
      <c r="J10">
        <v>1</v>
      </c>
      <c r="K10">
        <v>135</v>
      </c>
      <c r="L10" s="9" t="s">
        <v>16</v>
      </c>
      <c r="M10" s="4">
        <v>1269</v>
      </c>
      <c r="N10" s="10">
        <v>5</v>
      </c>
    </row>
    <row r="11" spans="1:16" ht="15" thickBot="1" x14ac:dyDescent="0.4">
      <c r="A11" s="11">
        <v>301</v>
      </c>
      <c r="B11" s="3" t="s">
        <v>159</v>
      </c>
      <c r="C11" s="3" t="s">
        <v>18</v>
      </c>
      <c r="D11" s="12">
        <v>5709</v>
      </c>
      <c r="E11" s="4">
        <v>287</v>
      </c>
      <c r="F11" s="4" t="s">
        <v>121</v>
      </c>
      <c r="G11" s="4" t="s">
        <v>122</v>
      </c>
      <c r="H11" s="4">
        <v>3029</v>
      </c>
      <c r="L11" s="14" t="s">
        <v>74</v>
      </c>
      <c r="M11" s="15">
        <v>1269</v>
      </c>
      <c r="N11" s="16">
        <v>4</v>
      </c>
    </row>
    <row r="12" spans="1:16" x14ac:dyDescent="0.35">
      <c r="A12" s="13">
        <v>313</v>
      </c>
      <c r="B12" s="5" t="s">
        <v>160</v>
      </c>
      <c r="C12" s="5" t="s">
        <v>18</v>
      </c>
      <c r="D12" s="5">
        <v>5376</v>
      </c>
      <c r="E12" s="4">
        <v>302</v>
      </c>
      <c r="F12" s="4" t="s">
        <v>132</v>
      </c>
      <c r="G12" s="4" t="s">
        <v>122</v>
      </c>
      <c r="H12" s="4">
        <v>1312</v>
      </c>
    </row>
    <row r="13" spans="1:16" x14ac:dyDescent="0.35">
      <c r="A13" s="9">
        <v>303</v>
      </c>
      <c r="B13" s="4" t="s">
        <v>161</v>
      </c>
      <c r="C13" s="4" t="s">
        <v>22</v>
      </c>
      <c r="D13" s="10">
        <v>4578</v>
      </c>
      <c r="E13" s="4">
        <v>295</v>
      </c>
      <c r="F13" t="s">
        <v>128</v>
      </c>
      <c r="G13" t="s">
        <v>122</v>
      </c>
      <c r="H13" s="4">
        <v>889</v>
      </c>
      <c r="I13" s="4"/>
    </row>
    <row r="14" spans="1:16" x14ac:dyDescent="0.35">
      <c r="A14" s="9">
        <v>242</v>
      </c>
      <c r="B14" s="4" t="s">
        <v>162</v>
      </c>
      <c r="C14" s="4" t="s">
        <v>17</v>
      </c>
      <c r="D14" s="10">
        <v>4103</v>
      </c>
      <c r="E14" s="4">
        <v>316</v>
      </c>
      <c r="F14" t="s">
        <v>143</v>
      </c>
      <c r="G14" t="s">
        <v>122</v>
      </c>
      <c r="H14" s="4">
        <v>460</v>
      </c>
      <c r="I14" s="4">
        <f>SUM(H11:H14)</f>
        <v>5690</v>
      </c>
      <c r="J14">
        <v>4</v>
      </c>
      <c r="K14">
        <f>I14/J14</f>
        <v>1422.5</v>
      </c>
    </row>
    <row r="15" spans="1:16" x14ac:dyDescent="0.35">
      <c r="A15" s="9">
        <v>278</v>
      </c>
      <c r="B15" s="4" t="s">
        <v>163</v>
      </c>
      <c r="C15" s="4" t="s">
        <v>18</v>
      </c>
      <c r="D15" s="10">
        <v>3912</v>
      </c>
      <c r="E15" s="4">
        <v>312</v>
      </c>
      <c r="F15" t="s">
        <v>140</v>
      </c>
      <c r="G15" t="s">
        <v>141</v>
      </c>
      <c r="H15" s="4">
        <v>1263</v>
      </c>
      <c r="I15" s="4"/>
    </row>
    <row r="16" spans="1:16" x14ac:dyDescent="0.35">
      <c r="A16" s="9">
        <v>207</v>
      </c>
      <c r="B16" s="4" t="s">
        <v>164</v>
      </c>
      <c r="C16" s="4" t="s">
        <v>165</v>
      </c>
      <c r="D16" s="10">
        <v>3782</v>
      </c>
      <c r="E16" s="4">
        <v>319</v>
      </c>
      <c r="F16" t="s">
        <v>145</v>
      </c>
      <c r="G16" t="s">
        <v>141</v>
      </c>
      <c r="H16" s="4">
        <v>1235</v>
      </c>
      <c r="I16" s="4"/>
    </row>
    <row r="17" spans="1:11" x14ac:dyDescent="0.35">
      <c r="A17" s="9">
        <v>262</v>
      </c>
      <c r="B17" s="4" t="s">
        <v>174</v>
      </c>
      <c r="C17" s="4" t="s">
        <v>18</v>
      </c>
      <c r="D17" s="10">
        <v>3590</v>
      </c>
      <c r="E17" s="4">
        <v>321</v>
      </c>
      <c r="F17" t="s">
        <v>147</v>
      </c>
      <c r="G17" t="s">
        <v>141</v>
      </c>
      <c r="H17" s="4">
        <v>697</v>
      </c>
      <c r="I17" s="4"/>
    </row>
    <row r="18" spans="1:11" x14ac:dyDescent="0.35">
      <c r="A18" s="9">
        <v>220</v>
      </c>
      <c r="B18" s="4" t="s">
        <v>172</v>
      </c>
      <c r="C18" s="4" t="s">
        <v>173</v>
      </c>
      <c r="D18" s="10">
        <v>3387</v>
      </c>
      <c r="E18" s="4">
        <v>328</v>
      </c>
      <c r="F18" t="s">
        <v>149</v>
      </c>
      <c r="G18" t="s">
        <v>141</v>
      </c>
      <c r="H18" s="4">
        <v>268</v>
      </c>
      <c r="I18" s="4">
        <f>SUM(H15:H18)</f>
        <v>3463</v>
      </c>
      <c r="J18">
        <v>4</v>
      </c>
      <c r="K18">
        <f>I18/J18</f>
        <v>865.75</v>
      </c>
    </row>
    <row r="19" spans="1:11" x14ac:dyDescent="0.35">
      <c r="A19" s="9">
        <v>214</v>
      </c>
      <c r="B19" s="4" t="s">
        <v>170</v>
      </c>
      <c r="C19" s="4" t="s">
        <v>171</v>
      </c>
      <c r="D19" s="10">
        <v>3199</v>
      </c>
      <c r="E19" s="4">
        <v>323</v>
      </c>
      <c r="F19" t="s">
        <v>24</v>
      </c>
      <c r="G19" t="s">
        <v>25</v>
      </c>
      <c r="H19" s="4">
        <v>1236</v>
      </c>
      <c r="I19" s="4"/>
    </row>
    <row r="20" spans="1:11" x14ac:dyDescent="0.35">
      <c r="A20" s="9">
        <v>309</v>
      </c>
      <c r="B20" s="4" t="s">
        <v>175</v>
      </c>
      <c r="C20" s="4" t="s">
        <v>17</v>
      </c>
      <c r="D20" s="10">
        <v>3111</v>
      </c>
      <c r="E20" s="4">
        <v>311</v>
      </c>
      <c r="F20" s="4" t="s">
        <v>139</v>
      </c>
      <c r="G20" s="4" t="s">
        <v>25</v>
      </c>
      <c r="H20" s="4">
        <v>924</v>
      </c>
      <c r="I20" s="4"/>
    </row>
    <row r="21" spans="1:11" x14ac:dyDescent="0.35">
      <c r="A21" s="11">
        <v>297</v>
      </c>
      <c r="B21" s="3" t="s">
        <v>176</v>
      </c>
      <c r="C21" s="3" t="s">
        <v>18</v>
      </c>
      <c r="D21" s="3">
        <v>3066</v>
      </c>
      <c r="E21" s="4">
        <v>308</v>
      </c>
      <c r="F21" s="4" t="s">
        <v>137</v>
      </c>
      <c r="G21" s="4" t="s">
        <v>25</v>
      </c>
      <c r="H21" s="4">
        <v>481</v>
      </c>
      <c r="I21" s="4">
        <f>SUM(H19:H21)</f>
        <v>2641</v>
      </c>
      <c r="J21">
        <v>3</v>
      </c>
      <c r="K21">
        <f>I21/J21</f>
        <v>880.33333333333337</v>
      </c>
    </row>
    <row r="22" spans="1:11" x14ac:dyDescent="0.35">
      <c r="A22" s="9">
        <v>287</v>
      </c>
      <c r="B22" s="4" t="s">
        <v>190</v>
      </c>
      <c r="C22" s="4" t="s">
        <v>122</v>
      </c>
      <c r="D22" s="10">
        <v>3029</v>
      </c>
      <c r="E22">
        <v>253</v>
      </c>
      <c r="F22" t="s">
        <v>96</v>
      </c>
      <c r="G22" t="s">
        <v>68</v>
      </c>
      <c r="H22">
        <v>1377</v>
      </c>
      <c r="I22" s="4"/>
    </row>
    <row r="23" spans="1:11" x14ac:dyDescent="0.35">
      <c r="A23" s="9">
        <v>273</v>
      </c>
      <c r="B23" s="4" t="s">
        <v>191</v>
      </c>
      <c r="C23" s="4" t="s">
        <v>17</v>
      </c>
      <c r="D23" s="10">
        <v>2811</v>
      </c>
      <c r="E23">
        <v>254</v>
      </c>
      <c r="F23" t="s">
        <v>97</v>
      </c>
      <c r="G23" t="s">
        <v>68</v>
      </c>
      <c r="H23">
        <v>830</v>
      </c>
      <c r="I23" s="4"/>
    </row>
    <row r="24" spans="1:11" x14ac:dyDescent="0.35">
      <c r="A24" s="9">
        <v>223</v>
      </c>
      <c r="B24" s="4" t="s">
        <v>15</v>
      </c>
      <c r="C24" s="4" t="s">
        <v>17</v>
      </c>
      <c r="D24" s="10">
        <v>2385</v>
      </c>
      <c r="E24">
        <v>265</v>
      </c>
      <c r="F24" t="s">
        <v>105</v>
      </c>
      <c r="G24" t="s">
        <v>68</v>
      </c>
      <c r="H24">
        <v>665</v>
      </c>
      <c r="I24" s="4"/>
    </row>
    <row r="25" spans="1:11" x14ac:dyDescent="0.35">
      <c r="A25" s="9">
        <v>243</v>
      </c>
      <c r="B25" s="4" t="s">
        <v>86</v>
      </c>
      <c r="C25" s="4" t="s">
        <v>84</v>
      </c>
      <c r="D25" s="10">
        <v>2377</v>
      </c>
      <c r="E25">
        <v>293</v>
      </c>
      <c r="F25" t="s">
        <v>126</v>
      </c>
      <c r="G25" t="s">
        <v>68</v>
      </c>
      <c r="H25">
        <v>431</v>
      </c>
      <c r="I25" s="4"/>
    </row>
    <row r="26" spans="1:11" x14ac:dyDescent="0.35">
      <c r="A26" s="9">
        <v>285</v>
      </c>
      <c r="B26" s="4" t="s">
        <v>119</v>
      </c>
      <c r="C26" s="4" t="s">
        <v>18</v>
      </c>
      <c r="D26" s="10">
        <v>2338</v>
      </c>
      <c r="E26">
        <v>226</v>
      </c>
      <c r="F26" t="s">
        <v>67</v>
      </c>
      <c r="G26" t="s">
        <v>68</v>
      </c>
      <c r="H26">
        <v>360</v>
      </c>
      <c r="I26" s="4"/>
    </row>
    <row r="27" spans="1:11" x14ac:dyDescent="0.35">
      <c r="A27" s="9">
        <v>300</v>
      </c>
      <c r="B27" s="4" t="s">
        <v>32</v>
      </c>
      <c r="C27" s="4" t="s">
        <v>17</v>
      </c>
      <c r="D27" s="10">
        <v>2276</v>
      </c>
      <c r="E27">
        <v>304</v>
      </c>
      <c r="F27" t="s">
        <v>133</v>
      </c>
      <c r="G27" t="s">
        <v>68</v>
      </c>
      <c r="H27">
        <v>359</v>
      </c>
      <c r="I27" s="4"/>
    </row>
    <row r="28" spans="1:11" x14ac:dyDescent="0.35">
      <c r="A28" s="9">
        <v>277</v>
      </c>
      <c r="B28" s="4" t="s">
        <v>19</v>
      </c>
      <c r="C28" s="4" t="s">
        <v>17</v>
      </c>
      <c r="D28" s="10">
        <v>2146</v>
      </c>
      <c r="E28">
        <v>289</v>
      </c>
      <c r="F28" t="s">
        <v>123</v>
      </c>
      <c r="G28" t="s">
        <v>68</v>
      </c>
      <c r="H28">
        <v>349</v>
      </c>
      <c r="I28" s="4"/>
    </row>
    <row r="29" spans="1:11" x14ac:dyDescent="0.35">
      <c r="A29" s="9">
        <v>284</v>
      </c>
      <c r="B29" s="4" t="s">
        <v>20</v>
      </c>
      <c r="C29" s="4" t="s">
        <v>21</v>
      </c>
      <c r="D29" s="10">
        <v>2035</v>
      </c>
      <c r="E29">
        <v>272</v>
      </c>
      <c r="F29" t="s">
        <v>111</v>
      </c>
      <c r="G29" t="s">
        <v>68</v>
      </c>
      <c r="H29">
        <v>340</v>
      </c>
      <c r="I29" s="4"/>
    </row>
    <row r="30" spans="1:11" x14ac:dyDescent="0.35">
      <c r="A30" s="9">
        <v>318</v>
      </c>
      <c r="B30" s="4" t="s">
        <v>23</v>
      </c>
      <c r="C30" s="4" t="s">
        <v>17</v>
      </c>
      <c r="D30" s="10">
        <v>2004</v>
      </c>
      <c r="E30">
        <v>315</v>
      </c>
      <c r="F30" t="s">
        <v>142</v>
      </c>
      <c r="G30" t="s">
        <v>68</v>
      </c>
      <c r="H30">
        <v>339</v>
      </c>
      <c r="I30" s="4"/>
    </row>
    <row r="31" spans="1:11" x14ac:dyDescent="0.35">
      <c r="A31" s="9">
        <v>255</v>
      </c>
      <c r="B31" s="4" t="s">
        <v>27</v>
      </c>
      <c r="C31" s="4" t="s">
        <v>17</v>
      </c>
      <c r="D31" s="10">
        <v>1925</v>
      </c>
      <c r="E31">
        <v>291</v>
      </c>
      <c r="F31" t="s">
        <v>125</v>
      </c>
      <c r="G31" t="s">
        <v>68</v>
      </c>
      <c r="H31">
        <v>324</v>
      </c>
      <c r="I31" s="4">
        <f>SUM(H22:H31)</f>
        <v>5374</v>
      </c>
      <c r="J31">
        <v>10</v>
      </c>
      <c r="K31">
        <f>I31/J31</f>
        <v>537.4</v>
      </c>
    </row>
    <row r="32" spans="1:11" x14ac:dyDescent="0.35">
      <c r="A32" s="9">
        <v>219</v>
      </c>
      <c r="B32" s="4" t="s">
        <v>62</v>
      </c>
      <c r="C32" s="4" t="s">
        <v>56</v>
      </c>
      <c r="D32" s="10">
        <v>1905</v>
      </c>
      <c r="E32">
        <v>247</v>
      </c>
      <c r="F32" t="s">
        <v>155</v>
      </c>
      <c r="G32" t="s">
        <v>18</v>
      </c>
      <c r="H32">
        <v>28333</v>
      </c>
      <c r="I32" s="4"/>
    </row>
    <row r="33" spans="1:18" x14ac:dyDescent="0.35">
      <c r="A33" s="9">
        <v>245</v>
      </c>
      <c r="B33" s="4" t="s">
        <v>89</v>
      </c>
      <c r="C33" s="4" t="s">
        <v>90</v>
      </c>
      <c r="D33" s="10">
        <v>1870</v>
      </c>
      <c r="E33">
        <v>258</v>
      </c>
      <c r="F33" t="s">
        <v>156</v>
      </c>
      <c r="G33" t="s">
        <v>18</v>
      </c>
      <c r="H33">
        <v>16407</v>
      </c>
      <c r="I33" s="4"/>
    </row>
    <row r="34" spans="1:18" x14ac:dyDescent="0.35">
      <c r="A34" s="9">
        <v>292</v>
      </c>
      <c r="B34" s="4" t="s">
        <v>31</v>
      </c>
      <c r="C34" s="4" t="s">
        <v>17</v>
      </c>
      <c r="D34" s="10">
        <v>1767</v>
      </c>
      <c r="E34" s="4">
        <v>301</v>
      </c>
      <c r="F34" s="4" t="s">
        <v>159</v>
      </c>
      <c r="G34" s="4" t="s">
        <v>18</v>
      </c>
      <c r="H34" s="4">
        <v>5709</v>
      </c>
      <c r="I34" s="4"/>
    </row>
    <row r="35" spans="1:18" x14ac:dyDescent="0.35">
      <c r="A35" s="9">
        <v>296</v>
      </c>
      <c r="B35" s="4" t="s">
        <v>129</v>
      </c>
      <c r="C35" s="4" t="s">
        <v>116</v>
      </c>
      <c r="D35" s="10">
        <v>1604</v>
      </c>
      <c r="E35" s="4">
        <v>313</v>
      </c>
      <c r="F35" s="4" t="s">
        <v>160</v>
      </c>
      <c r="G35" s="4" t="s">
        <v>18</v>
      </c>
      <c r="H35" s="4">
        <v>5376</v>
      </c>
      <c r="I35" s="4"/>
    </row>
    <row r="36" spans="1:18" x14ac:dyDescent="0.35">
      <c r="A36" s="9">
        <v>257</v>
      </c>
      <c r="B36" s="4" t="s">
        <v>37</v>
      </c>
      <c r="C36" s="4" t="s">
        <v>38</v>
      </c>
      <c r="D36" s="10">
        <v>1554</v>
      </c>
      <c r="E36" s="4">
        <v>278</v>
      </c>
      <c r="F36" s="4" t="s">
        <v>163</v>
      </c>
      <c r="G36" s="4" t="s">
        <v>18</v>
      </c>
      <c r="H36" s="4">
        <v>3912</v>
      </c>
      <c r="I36" s="4"/>
    </row>
    <row r="37" spans="1:18" x14ac:dyDescent="0.35">
      <c r="A37" s="9">
        <v>299</v>
      </c>
      <c r="B37" s="4" t="s">
        <v>130</v>
      </c>
      <c r="C37" s="4" t="s">
        <v>131</v>
      </c>
      <c r="D37" s="10">
        <v>1544</v>
      </c>
      <c r="E37" s="4">
        <v>262</v>
      </c>
      <c r="F37" s="4" t="s">
        <v>174</v>
      </c>
      <c r="G37" s="4" t="s">
        <v>18</v>
      </c>
      <c r="H37" s="4">
        <v>3590</v>
      </c>
      <c r="I37" s="4"/>
    </row>
    <row r="38" spans="1:18" x14ac:dyDescent="0.35">
      <c r="A38" s="9">
        <v>288</v>
      </c>
      <c r="B38" s="4" t="s">
        <v>30</v>
      </c>
      <c r="C38" s="4" t="s">
        <v>17</v>
      </c>
      <c r="D38" s="10">
        <v>1542</v>
      </c>
      <c r="E38" s="4">
        <v>297</v>
      </c>
      <c r="F38" s="4" t="s">
        <v>176</v>
      </c>
      <c r="G38" s="4" t="s">
        <v>18</v>
      </c>
      <c r="H38" s="4">
        <v>3066</v>
      </c>
      <c r="I38" s="4"/>
    </row>
    <row r="39" spans="1:18" x14ac:dyDescent="0.35">
      <c r="A39" s="9">
        <v>244</v>
      </c>
      <c r="B39" s="4" t="s">
        <v>87</v>
      </c>
      <c r="C39" s="4" t="s">
        <v>88</v>
      </c>
      <c r="D39" s="10">
        <v>1528</v>
      </c>
      <c r="E39">
        <v>285</v>
      </c>
      <c r="F39" t="s">
        <v>119</v>
      </c>
      <c r="G39" t="s">
        <v>18</v>
      </c>
      <c r="H39">
        <v>2338</v>
      </c>
      <c r="I39" s="4"/>
    </row>
    <row r="40" spans="1:18" x14ac:dyDescent="0.35">
      <c r="A40" s="9">
        <v>253</v>
      </c>
      <c r="B40" s="4" t="s">
        <v>192</v>
      </c>
      <c r="C40" s="4" t="s">
        <v>68</v>
      </c>
      <c r="D40" s="10">
        <v>1377</v>
      </c>
      <c r="E40">
        <v>306</v>
      </c>
      <c r="F40" t="s">
        <v>135</v>
      </c>
      <c r="G40" t="s">
        <v>18</v>
      </c>
      <c r="H40">
        <v>823</v>
      </c>
      <c r="I40" s="4"/>
    </row>
    <row r="41" spans="1:18" x14ac:dyDescent="0.35">
      <c r="A41" s="9">
        <v>232</v>
      </c>
      <c r="B41" s="4" t="s">
        <v>189</v>
      </c>
      <c r="C41" s="4" t="s">
        <v>74</v>
      </c>
      <c r="D41" s="10">
        <v>1348</v>
      </c>
      <c r="E41">
        <v>329</v>
      </c>
      <c r="F41" t="s">
        <v>150</v>
      </c>
      <c r="G41" t="s">
        <v>18</v>
      </c>
      <c r="H41">
        <v>354</v>
      </c>
      <c r="I41" s="4"/>
    </row>
    <row r="42" spans="1:18" x14ac:dyDescent="0.35">
      <c r="A42" s="9">
        <v>302</v>
      </c>
      <c r="B42" s="4" t="s">
        <v>132</v>
      </c>
      <c r="C42" s="4" t="s">
        <v>122</v>
      </c>
      <c r="D42" s="10">
        <v>1312</v>
      </c>
      <c r="E42">
        <v>324</v>
      </c>
      <c r="F42" t="s">
        <v>148</v>
      </c>
      <c r="G42" t="s">
        <v>18</v>
      </c>
      <c r="H42">
        <v>346</v>
      </c>
      <c r="I42" s="4"/>
    </row>
    <row r="43" spans="1:18" x14ac:dyDescent="0.35">
      <c r="A43" s="9">
        <v>281</v>
      </c>
      <c r="B43" s="4" t="s">
        <v>195</v>
      </c>
      <c r="C43" s="4" t="s">
        <v>17</v>
      </c>
      <c r="D43" s="10">
        <v>1308</v>
      </c>
      <c r="E43">
        <v>221</v>
      </c>
      <c r="F43" t="s">
        <v>63</v>
      </c>
      <c r="G43" t="s">
        <v>18</v>
      </c>
      <c r="H43">
        <v>139</v>
      </c>
      <c r="I43" s="4">
        <f>SUM(H32:H43)</f>
        <v>70393</v>
      </c>
      <c r="J43">
        <v>12</v>
      </c>
      <c r="K43">
        <f>I43/J43</f>
        <v>5866.083333333333</v>
      </c>
    </row>
    <row r="44" spans="1:18" x14ac:dyDescent="0.35">
      <c r="A44" s="9">
        <v>215</v>
      </c>
      <c r="B44" s="4" t="s">
        <v>55</v>
      </c>
      <c r="C44" s="4" t="s">
        <v>56</v>
      </c>
      <c r="D44" s="10">
        <v>1292</v>
      </c>
      <c r="E44">
        <v>244</v>
      </c>
      <c r="F44" t="s">
        <v>87</v>
      </c>
      <c r="G44" t="s">
        <v>88</v>
      </c>
      <c r="H44">
        <v>1528</v>
      </c>
      <c r="I44" s="4">
        <v>1528</v>
      </c>
    </row>
    <row r="45" spans="1:18" x14ac:dyDescent="0.35">
      <c r="A45" s="9">
        <v>225</v>
      </c>
      <c r="B45" s="4" t="s">
        <v>66</v>
      </c>
      <c r="C45" s="4" t="s">
        <v>16</v>
      </c>
      <c r="D45" s="10">
        <v>1275</v>
      </c>
      <c r="E45">
        <v>274</v>
      </c>
      <c r="F45" t="s">
        <v>112</v>
      </c>
      <c r="G45" t="s">
        <v>81</v>
      </c>
      <c r="H45">
        <v>1084</v>
      </c>
      <c r="I45" s="4"/>
    </row>
    <row r="46" spans="1:18" x14ac:dyDescent="0.35">
      <c r="A46" s="9">
        <v>312</v>
      </c>
      <c r="B46" s="4" t="s">
        <v>140</v>
      </c>
      <c r="C46" s="4" t="s">
        <v>141</v>
      </c>
      <c r="D46" s="10">
        <v>1263</v>
      </c>
      <c r="E46">
        <v>239</v>
      </c>
      <c r="F46" t="s">
        <v>80</v>
      </c>
      <c r="G46" t="s">
        <v>81</v>
      </c>
      <c r="H46">
        <v>651</v>
      </c>
      <c r="I46" s="4">
        <f>SUM(H45:H46)</f>
        <v>1735</v>
      </c>
      <c r="J46">
        <v>2</v>
      </c>
      <c r="K46">
        <f>I46/J46</f>
        <v>867.5</v>
      </c>
    </row>
    <row r="47" spans="1:18" x14ac:dyDescent="0.35">
      <c r="A47" s="9">
        <v>323</v>
      </c>
      <c r="B47" s="4" t="s">
        <v>24</v>
      </c>
      <c r="C47" s="4" t="s">
        <v>25</v>
      </c>
      <c r="D47" s="10">
        <v>1236</v>
      </c>
      <c r="E47">
        <v>209</v>
      </c>
      <c r="F47" t="s">
        <v>46</v>
      </c>
      <c r="G47" t="s">
        <v>47</v>
      </c>
      <c r="H47">
        <v>1036</v>
      </c>
      <c r="I47" s="4">
        <v>1036</v>
      </c>
      <c r="J47" s="17">
        <v>1</v>
      </c>
      <c r="K47" s="17">
        <v>1036</v>
      </c>
      <c r="Q47" s="17">
        <v>1</v>
      </c>
      <c r="R47" s="17">
        <v>1036</v>
      </c>
    </row>
    <row r="48" spans="1:18" x14ac:dyDescent="0.35">
      <c r="A48" s="9">
        <v>319</v>
      </c>
      <c r="B48" s="4" t="s">
        <v>145</v>
      </c>
      <c r="C48" s="4" t="s">
        <v>141</v>
      </c>
      <c r="D48" s="10">
        <v>1235</v>
      </c>
      <c r="E48">
        <v>245</v>
      </c>
      <c r="F48" t="s">
        <v>89</v>
      </c>
      <c r="G48" t="s">
        <v>74</v>
      </c>
      <c r="H48">
        <v>1870</v>
      </c>
      <c r="I48" s="4"/>
    </row>
    <row r="49" spans="1:11" x14ac:dyDescent="0.35">
      <c r="A49" s="9">
        <v>251</v>
      </c>
      <c r="B49" s="4" t="s">
        <v>93</v>
      </c>
      <c r="C49" s="4" t="s">
        <v>94</v>
      </c>
      <c r="D49" s="10">
        <v>1130</v>
      </c>
      <c r="E49">
        <v>232</v>
      </c>
      <c r="F49" t="s">
        <v>189</v>
      </c>
      <c r="G49" t="s">
        <v>74</v>
      </c>
      <c r="H49">
        <v>1348</v>
      </c>
      <c r="I49" s="4"/>
    </row>
    <row r="50" spans="1:11" x14ac:dyDescent="0.35">
      <c r="A50" s="9">
        <v>217</v>
      </c>
      <c r="B50" s="4" t="s">
        <v>59</v>
      </c>
      <c r="C50" s="4" t="s">
        <v>54</v>
      </c>
      <c r="D50" s="10">
        <v>1117</v>
      </c>
      <c r="E50">
        <v>241</v>
      </c>
      <c r="F50" t="s">
        <v>85</v>
      </c>
      <c r="G50" t="s">
        <v>74</v>
      </c>
      <c r="H50">
        <v>688</v>
      </c>
      <c r="I50" s="4"/>
    </row>
    <row r="51" spans="1:11" x14ac:dyDescent="0.35">
      <c r="A51" s="9">
        <v>274</v>
      </c>
      <c r="B51" s="4" t="s">
        <v>112</v>
      </c>
      <c r="C51" s="4" t="s">
        <v>81</v>
      </c>
      <c r="D51" s="10">
        <v>1084</v>
      </c>
      <c r="E51">
        <v>249</v>
      </c>
      <c r="F51" t="s">
        <v>91</v>
      </c>
      <c r="G51" t="s">
        <v>74</v>
      </c>
      <c r="H51">
        <v>242</v>
      </c>
      <c r="I51" s="4">
        <f>SUM(H48:H51)</f>
        <v>4148</v>
      </c>
      <c r="J51">
        <v>4</v>
      </c>
      <c r="K51">
        <f>I51/J51</f>
        <v>1037</v>
      </c>
    </row>
    <row r="52" spans="1:11" x14ac:dyDescent="0.35">
      <c r="A52" s="9">
        <v>209</v>
      </c>
      <c r="B52" s="4" t="s">
        <v>46</v>
      </c>
      <c r="C52" s="4" t="s">
        <v>47</v>
      </c>
      <c r="D52" s="10">
        <v>1036</v>
      </c>
      <c r="E52">
        <v>299</v>
      </c>
      <c r="F52" t="s">
        <v>130</v>
      </c>
      <c r="G52" t="s">
        <v>131</v>
      </c>
      <c r="H52">
        <v>1544</v>
      </c>
      <c r="I52" s="4">
        <v>1544</v>
      </c>
    </row>
    <row r="53" spans="1:11" x14ac:dyDescent="0.35">
      <c r="A53" s="9">
        <v>212</v>
      </c>
      <c r="B53" s="4" t="s">
        <v>50</v>
      </c>
      <c r="C53" s="4" t="s">
        <v>51</v>
      </c>
      <c r="D53" s="10">
        <v>1035</v>
      </c>
      <c r="E53">
        <v>243</v>
      </c>
      <c r="F53" t="s">
        <v>86</v>
      </c>
      <c r="G53" t="s">
        <v>84</v>
      </c>
      <c r="H53">
        <v>2377</v>
      </c>
      <c r="I53" s="4"/>
    </row>
    <row r="54" spans="1:11" x14ac:dyDescent="0.35">
      <c r="A54" s="9">
        <v>271</v>
      </c>
      <c r="B54" s="4" t="s">
        <v>110</v>
      </c>
      <c r="C54" s="4" t="s">
        <v>56</v>
      </c>
      <c r="D54" s="10">
        <v>1015</v>
      </c>
      <c r="E54">
        <v>240</v>
      </c>
      <c r="F54" t="s">
        <v>83</v>
      </c>
      <c r="G54" t="s">
        <v>84</v>
      </c>
      <c r="H54">
        <v>288</v>
      </c>
      <c r="I54" s="4">
        <f>SUM(H53:H54)</f>
        <v>2665</v>
      </c>
      <c r="J54">
        <v>2</v>
      </c>
      <c r="K54">
        <f>I54/J54</f>
        <v>1332.5</v>
      </c>
    </row>
    <row r="55" spans="1:11" x14ac:dyDescent="0.35">
      <c r="A55" s="9">
        <v>250</v>
      </c>
      <c r="B55" s="4" t="s">
        <v>92</v>
      </c>
      <c r="C55" s="4" t="s">
        <v>54</v>
      </c>
      <c r="D55" s="10">
        <v>1008</v>
      </c>
      <c r="E55">
        <v>282</v>
      </c>
      <c r="F55" t="s">
        <v>117</v>
      </c>
      <c r="G55" t="s">
        <v>99</v>
      </c>
      <c r="H55">
        <v>649</v>
      </c>
      <c r="I55" s="4"/>
    </row>
    <row r="56" spans="1:11" x14ac:dyDescent="0.35">
      <c r="A56" s="9">
        <v>322</v>
      </c>
      <c r="B56" s="4" t="s">
        <v>34</v>
      </c>
      <c r="C56" s="4" t="s">
        <v>17</v>
      </c>
      <c r="D56" s="10">
        <v>971</v>
      </c>
      <c r="E56">
        <v>266</v>
      </c>
      <c r="F56" t="s">
        <v>106</v>
      </c>
      <c r="G56" t="s">
        <v>99</v>
      </c>
      <c r="H56">
        <v>607</v>
      </c>
      <c r="I56" s="4"/>
    </row>
    <row r="57" spans="1:11" x14ac:dyDescent="0.35">
      <c r="A57" s="9">
        <v>311</v>
      </c>
      <c r="B57" s="4" t="s">
        <v>139</v>
      </c>
      <c r="C57" s="4" t="s">
        <v>25</v>
      </c>
      <c r="D57" s="10">
        <v>924</v>
      </c>
      <c r="E57">
        <v>283</v>
      </c>
      <c r="F57" t="s">
        <v>118</v>
      </c>
      <c r="G57" t="s">
        <v>99</v>
      </c>
      <c r="H57">
        <v>560</v>
      </c>
      <c r="I57" s="4"/>
    </row>
    <row r="58" spans="1:11" x14ac:dyDescent="0.35">
      <c r="A58" s="9">
        <v>295</v>
      </c>
      <c r="B58" s="4" t="s">
        <v>128</v>
      </c>
      <c r="C58" s="4" t="s">
        <v>122</v>
      </c>
      <c r="D58" s="10">
        <v>889</v>
      </c>
      <c r="E58">
        <v>286</v>
      </c>
      <c r="F58" t="s">
        <v>120</v>
      </c>
      <c r="G58" t="s">
        <v>99</v>
      </c>
      <c r="H58">
        <v>469</v>
      </c>
      <c r="I58" s="4"/>
    </row>
    <row r="59" spans="1:11" x14ac:dyDescent="0.35">
      <c r="A59" s="9">
        <v>275</v>
      </c>
      <c r="B59" s="4" t="s">
        <v>194</v>
      </c>
      <c r="C59" s="4" t="s">
        <v>78</v>
      </c>
      <c r="D59" s="10">
        <v>847</v>
      </c>
      <c r="E59">
        <v>270</v>
      </c>
      <c r="F59" t="s">
        <v>109</v>
      </c>
      <c r="G59" t="s">
        <v>99</v>
      </c>
      <c r="H59">
        <v>418</v>
      </c>
      <c r="I59" s="4"/>
    </row>
    <row r="60" spans="1:11" x14ac:dyDescent="0.35">
      <c r="A60" s="9">
        <v>290</v>
      </c>
      <c r="B60" s="4" t="s">
        <v>124</v>
      </c>
      <c r="C60" s="4" t="s">
        <v>21</v>
      </c>
      <c r="D60" s="10">
        <v>832</v>
      </c>
      <c r="E60">
        <v>259</v>
      </c>
      <c r="F60" t="s">
        <v>98</v>
      </c>
      <c r="G60" t="s">
        <v>99</v>
      </c>
      <c r="H60">
        <v>395</v>
      </c>
      <c r="I60" s="4"/>
    </row>
    <row r="61" spans="1:11" x14ac:dyDescent="0.35">
      <c r="A61" s="9">
        <v>254</v>
      </c>
      <c r="B61" s="4" t="s">
        <v>97</v>
      </c>
      <c r="C61" s="4" t="s">
        <v>68</v>
      </c>
      <c r="D61" s="10">
        <v>830</v>
      </c>
      <c r="E61">
        <v>320</v>
      </c>
      <c r="F61" t="s">
        <v>146</v>
      </c>
      <c r="G61" t="s">
        <v>99</v>
      </c>
      <c r="H61">
        <v>314</v>
      </c>
      <c r="I61" s="4"/>
    </row>
    <row r="62" spans="1:11" x14ac:dyDescent="0.35">
      <c r="A62" s="9">
        <v>306</v>
      </c>
      <c r="B62" s="4" t="s">
        <v>135</v>
      </c>
      <c r="C62" s="4" t="s">
        <v>18</v>
      </c>
      <c r="D62" s="10">
        <v>823</v>
      </c>
      <c r="E62">
        <v>269</v>
      </c>
      <c r="F62" t="s">
        <v>108</v>
      </c>
      <c r="G62" t="s">
        <v>99</v>
      </c>
      <c r="H62">
        <v>217</v>
      </c>
      <c r="I62" s="4">
        <f>SUM(H55:H62)</f>
        <v>3629</v>
      </c>
      <c r="J62">
        <v>8</v>
      </c>
      <c r="K62">
        <f>I62/J62</f>
        <v>453.625</v>
      </c>
    </row>
    <row r="63" spans="1:11" x14ac:dyDescent="0.35">
      <c r="A63" s="9">
        <v>234</v>
      </c>
      <c r="B63" s="4" t="s">
        <v>39</v>
      </c>
      <c r="C63" s="4" t="s">
        <v>17</v>
      </c>
      <c r="D63" s="10">
        <v>799</v>
      </c>
      <c r="E63">
        <v>217</v>
      </c>
      <c r="F63" t="s">
        <v>59</v>
      </c>
      <c r="G63" t="s">
        <v>54</v>
      </c>
      <c r="H63">
        <v>1117</v>
      </c>
      <c r="I63" s="4"/>
    </row>
    <row r="64" spans="1:11" x14ac:dyDescent="0.35">
      <c r="A64" s="9">
        <v>261</v>
      </c>
      <c r="B64" s="4" t="s">
        <v>101</v>
      </c>
      <c r="C64" s="4" t="s">
        <v>56</v>
      </c>
      <c r="D64" s="10">
        <v>794</v>
      </c>
      <c r="E64">
        <v>250</v>
      </c>
      <c r="F64" t="s">
        <v>92</v>
      </c>
      <c r="G64" t="s">
        <v>54</v>
      </c>
      <c r="H64">
        <v>1008</v>
      </c>
      <c r="I64" s="4"/>
    </row>
    <row r="65" spans="1:11" x14ac:dyDescent="0.35">
      <c r="A65" s="9">
        <v>321</v>
      </c>
      <c r="B65" s="4" t="s">
        <v>147</v>
      </c>
      <c r="C65" s="4" t="s">
        <v>141</v>
      </c>
      <c r="D65" s="10">
        <v>697</v>
      </c>
      <c r="E65">
        <v>231</v>
      </c>
      <c r="F65" t="s">
        <v>73</v>
      </c>
      <c r="G65" t="s">
        <v>54</v>
      </c>
      <c r="H65">
        <v>182</v>
      </c>
      <c r="I65" s="4"/>
    </row>
    <row r="66" spans="1:11" x14ac:dyDescent="0.35">
      <c r="A66" s="9">
        <v>241</v>
      </c>
      <c r="B66" s="4" t="s">
        <v>85</v>
      </c>
      <c r="C66" s="4" t="s">
        <v>74</v>
      </c>
      <c r="D66" s="10">
        <v>688</v>
      </c>
      <c r="E66" s="4">
        <v>214</v>
      </c>
      <c r="F66" s="4" t="s">
        <v>170</v>
      </c>
      <c r="G66" s="4" t="s">
        <v>171</v>
      </c>
      <c r="H66" s="4">
        <v>3199</v>
      </c>
      <c r="I66" s="4">
        <f>SUM(H63:H66)</f>
        <v>5506</v>
      </c>
      <c r="J66">
        <v>4</v>
      </c>
      <c r="K66">
        <f>I66/4</f>
        <v>1376.5</v>
      </c>
    </row>
    <row r="67" spans="1:11" x14ac:dyDescent="0.35">
      <c r="A67" s="9">
        <v>314</v>
      </c>
      <c r="B67" s="4" t="s">
        <v>33</v>
      </c>
      <c r="C67" s="4" t="s">
        <v>17</v>
      </c>
      <c r="D67" s="10">
        <v>687</v>
      </c>
      <c r="E67">
        <v>213</v>
      </c>
      <c r="F67" t="s">
        <v>52</v>
      </c>
      <c r="G67" t="s">
        <v>53</v>
      </c>
      <c r="H67">
        <v>360</v>
      </c>
      <c r="I67" s="4">
        <v>360</v>
      </c>
    </row>
    <row r="68" spans="1:11" x14ac:dyDescent="0.35">
      <c r="A68" s="9">
        <v>265</v>
      </c>
      <c r="B68" s="4" t="s">
        <v>105</v>
      </c>
      <c r="C68" s="4" t="s">
        <v>68</v>
      </c>
      <c r="D68" s="10">
        <v>665</v>
      </c>
      <c r="E68">
        <v>296</v>
      </c>
      <c r="F68" t="s">
        <v>129</v>
      </c>
      <c r="G68" t="s">
        <v>116</v>
      </c>
      <c r="H68">
        <v>1604</v>
      </c>
      <c r="I68" s="4"/>
    </row>
    <row r="69" spans="1:11" x14ac:dyDescent="0.35">
      <c r="A69" s="9">
        <v>235</v>
      </c>
      <c r="B69" s="4" t="s">
        <v>77</v>
      </c>
      <c r="C69" s="4" t="s">
        <v>78</v>
      </c>
      <c r="D69" s="10">
        <v>653</v>
      </c>
      <c r="E69">
        <v>280</v>
      </c>
      <c r="F69" t="s">
        <v>107</v>
      </c>
      <c r="G69" t="s">
        <v>116</v>
      </c>
      <c r="H69">
        <v>353</v>
      </c>
      <c r="I69" s="4"/>
    </row>
    <row r="70" spans="1:11" x14ac:dyDescent="0.35">
      <c r="A70" s="9">
        <v>239</v>
      </c>
      <c r="B70" s="4" t="s">
        <v>80</v>
      </c>
      <c r="C70" s="4" t="s">
        <v>81</v>
      </c>
      <c r="D70" s="10">
        <v>651</v>
      </c>
      <c r="E70">
        <v>279</v>
      </c>
      <c r="F70" t="s">
        <v>115</v>
      </c>
      <c r="G70" t="s">
        <v>116</v>
      </c>
      <c r="H70">
        <v>332</v>
      </c>
      <c r="I70" s="4">
        <f>SUM(H68:H70)</f>
        <v>2289</v>
      </c>
      <c r="J70">
        <v>3</v>
      </c>
      <c r="K70">
        <f>I70/J70</f>
        <v>763</v>
      </c>
    </row>
    <row r="71" spans="1:11" x14ac:dyDescent="0.35">
      <c r="A71" s="9">
        <v>282</v>
      </c>
      <c r="B71" s="4" t="s">
        <v>117</v>
      </c>
      <c r="C71" s="4" t="s">
        <v>99</v>
      </c>
      <c r="D71" s="10">
        <v>649</v>
      </c>
      <c r="E71">
        <v>228</v>
      </c>
      <c r="F71" t="s">
        <v>70</v>
      </c>
      <c r="G71" t="s">
        <v>71</v>
      </c>
      <c r="H71">
        <v>291</v>
      </c>
      <c r="I71" s="4">
        <v>291</v>
      </c>
    </row>
    <row r="72" spans="1:11" x14ac:dyDescent="0.35">
      <c r="A72" s="9">
        <v>205</v>
      </c>
      <c r="B72" s="4" t="s">
        <v>168</v>
      </c>
      <c r="C72" s="4" t="s">
        <v>169</v>
      </c>
      <c r="D72" s="10">
        <v>633</v>
      </c>
      <c r="E72">
        <v>210</v>
      </c>
      <c r="F72" t="s">
        <v>48</v>
      </c>
      <c r="G72" t="s">
        <v>49</v>
      </c>
      <c r="H72">
        <v>131</v>
      </c>
      <c r="I72" s="4">
        <v>131</v>
      </c>
    </row>
    <row r="73" spans="1:11" x14ac:dyDescent="0.35">
      <c r="A73" s="9">
        <v>266</v>
      </c>
      <c r="B73" s="4" t="s">
        <v>106</v>
      </c>
      <c r="C73" s="4" t="s">
        <v>99</v>
      </c>
      <c r="D73" s="10">
        <v>607</v>
      </c>
      <c r="E73">
        <v>284</v>
      </c>
      <c r="F73" t="s">
        <v>20</v>
      </c>
      <c r="G73" t="s">
        <v>21</v>
      </c>
      <c r="H73">
        <v>2035</v>
      </c>
      <c r="I73" s="4"/>
    </row>
    <row r="74" spans="1:11" x14ac:dyDescent="0.35">
      <c r="A74" s="9">
        <v>237</v>
      </c>
      <c r="B74" s="4" t="s">
        <v>26</v>
      </c>
      <c r="C74" s="4" t="s">
        <v>17</v>
      </c>
      <c r="D74" s="10">
        <v>605</v>
      </c>
      <c r="E74">
        <v>290</v>
      </c>
      <c r="F74" t="s">
        <v>124</v>
      </c>
      <c r="G74" t="s">
        <v>21</v>
      </c>
      <c r="H74">
        <v>832</v>
      </c>
      <c r="I74" s="4"/>
    </row>
    <row r="75" spans="1:11" x14ac:dyDescent="0.35">
      <c r="A75" s="9">
        <v>305</v>
      </c>
      <c r="B75" s="4" t="s">
        <v>134</v>
      </c>
      <c r="C75" s="4" t="s">
        <v>22</v>
      </c>
      <c r="D75" s="10">
        <v>600</v>
      </c>
      <c r="E75">
        <v>267</v>
      </c>
      <c r="F75" t="s">
        <v>107</v>
      </c>
      <c r="G75" t="s">
        <v>21</v>
      </c>
      <c r="H75">
        <v>574</v>
      </c>
      <c r="I75" s="4"/>
    </row>
    <row r="76" spans="1:11" x14ac:dyDescent="0.35">
      <c r="A76" s="9">
        <v>252</v>
      </c>
      <c r="B76" s="4" t="s">
        <v>95</v>
      </c>
      <c r="C76" s="4" t="s">
        <v>94</v>
      </c>
      <c r="D76" s="10">
        <v>599</v>
      </c>
      <c r="E76">
        <v>294</v>
      </c>
      <c r="F76" t="s">
        <v>127</v>
      </c>
      <c r="G76" t="s">
        <v>21</v>
      </c>
      <c r="H76">
        <v>390</v>
      </c>
      <c r="I76" s="4">
        <f>SUM(H73:H76)</f>
        <v>3831</v>
      </c>
      <c r="J76">
        <v>4</v>
      </c>
      <c r="K76">
        <f>I76/J76</f>
        <v>957.75</v>
      </c>
    </row>
    <row r="77" spans="1:11" x14ac:dyDescent="0.35">
      <c r="A77" s="9">
        <v>267</v>
      </c>
      <c r="B77" s="4" t="s">
        <v>107</v>
      </c>
      <c r="C77" s="4" t="s">
        <v>21</v>
      </c>
      <c r="D77" s="10">
        <v>574</v>
      </c>
      <c r="E77">
        <v>216</v>
      </c>
      <c r="F77" t="s">
        <v>57</v>
      </c>
      <c r="G77" t="s">
        <v>58</v>
      </c>
      <c r="H77">
        <v>433</v>
      </c>
      <c r="I77" s="4"/>
    </row>
    <row r="78" spans="1:11" x14ac:dyDescent="0.35">
      <c r="A78" s="9">
        <v>283</v>
      </c>
      <c r="B78" s="4" t="s">
        <v>118</v>
      </c>
      <c r="C78" s="4" t="s">
        <v>99</v>
      </c>
      <c r="D78" s="10">
        <v>560</v>
      </c>
      <c r="E78">
        <v>222</v>
      </c>
      <c r="F78" t="s">
        <v>64</v>
      </c>
      <c r="G78" t="s">
        <v>58</v>
      </c>
      <c r="H78">
        <v>229</v>
      </c>
      <c r="I78" s="4">
        <f>SUM(H77:H78)</f>
        <v>662</v>
      </c>
      <c r="J78">
        <v>2</v>
      </c>
      <c r="K78">
        <f>I78/J78</f>
        <v>331</v>
      </c>
    </row>
    <row r="79" spans="1:11" x14ac:dyDescent="0.35">
      <c r="A79" s="9">
        <v>260</v>
      </c>
      <c r="B79" s="4" t="s">
        <v>100</v>
      </c>
      <c r="C79" s="4" t="s">
        <v>56</v>
      </c>
      <c r="D79" s="10">
        <v>553</v>
      </c>
      <c r="E79">
        <v>275</v>
      </c>
      <c r="F79" t="s">
        <v>113</v>
      </c>
      <c r="G79" t="s">
        <v>78</v>
      </c>
      <c r="H79">
        <v>847</v>
      </c>
      <c r="I79" s="4"/>
    </row>
    <row r="80" spans="1:11" x14ac:dyDescent="0.35">
      <c r="A80" s="9">
        <v>307</v>
      </c>
      <c r="B80" s="4" t="s">
        <v>136</v>
      </c>
      <c r="C80" s="4" t="s">
        <v>22</v>
      </c>
      <c r="D80" s="10">
        <v>542</v>
      </c>
      <c r="E80">
        <v>235</v>
      </c>
      <c r="F80" t="s">
        <v>77</v>
      </c>
      <c r="G80" t="s">
        <v>78</v>
      </c>
      <c r="H80">
        <v>653</v>
      </c>
      <c r="I80" s="4"/>
    </row>
    <row r="81" spans="1:11" x14ac:dyDescent="0.35">
      <c r="A81" s="9">
        <v>308</v>
      </c>
      <c r="B81" s="4" t="s">
        <v>137</v>
      </c>
      <c r="C81" s="4" t="s">
        <v>25</v>
      </c>
      <c r="D81" s="10">
        <v>481</v>
      </c>
      <c r="E81">
        <v>276</v>
      </c>
      <c r="F81" t="s">
        <v>114</v>
      </c>
      <c r="G81" t="s">
        <v>78</v>
      </c>
      <c r="H81">
        <v>440</v>
      </c>
      <c r="I81" s="4"/>
    </row>
    <row r="82" spans="1:11" x14ac:dyDescent="0.35">
      <c r="A82" s="9">
        <v>286</v>
      </c>
      <c r="B82" s="4" t="s">
        <v>120</v>
      </c>
      <c r="C82" s="4" t="s">
        <v>99</v>
      </c>
      <c r="D82" s="10">
        <v>469</v>
      </c>
      <c r="E82">
        <v>236</v>
      </c>
      <c r="F82" t="s">
        <v>79</v>
      </c>
      <c r="G82" t="s">
        <v>78</v>
      </c>
      <c r="H82">
        <v>325</v>
      </c>
      <c r="I82" s="4">
        <f>SUM(H79:H82)</f>
        <v>2265</v>
      </c>
      <c r="J82">
        <v>4</v>
      </c>
      <c r="K82">
        <f>I82/J82</f>
        <v>566.25</v>
      </c>
    </row>
    <row r="83" spans="1:11" x14ac:dyDescent="0.35">
      <c r="A83" s="9">
        <v>206</v>
      </c>
      <c r="B83" s="4" t="s">
        <v>166</v>
      </c>
      <c r="C83" s="4" t="s">
        <v>167</v>
      </c>
      <c r="D83" s="10">
        <v>468</v>
      </c>
      <c r="E83">
        <v>238</v>
      </c>
      <c r="F83" t="s">
        <v>36</v>
      </c>
      <c r="G83" t="s">
        <v>17</v>
      </c>
      <c r="H83">
        <v>34620</v>
      </c>
      <c r="I83" s="4"/>
    </row>
    <row r="84" spans="1:11" x14ac:dyDescent="0.35">
      <c r="A84" s="9">
        <v>316</v>
      </c>
      <c r="B84" s="4" t="s">
        <v>143</v>
      </c>
      <c r="C84" s="4" t="s">
        <v>122</v>
      </c>
      <c r="D84" s="10">
        <v>460</v>
      </c>
      <c r="E84">
        <v>268</v>
      </c>
      <c r="F84" t="s">
        <v>42</v>
      </c>
      <c r="G84" t="s">
        <v>17</v>
      </c>
      <c r="H84">
        <v>25197</v>
      </c>
      <c r="I84" s="4"/>
    </row>
    <row r="85" spans="1:11" x14ac:dyDescent="0.35">
      <c r="A85" s="9">
        <v>276</v>
      </c>
      <c r="B85" s="4" t="s">
        <v>114</v>
      </c>
      <c r="C85" s="4" t="s">
        <v>78</v>
      </c>
      <c r="D85" s="10">
        <v>440</v>
      </c>
      <c r="E85">
        <v>256</v>
      </c>
      <c r="F85" t="s">
        <v>41</v>
      </c>
      <c r="G85" t="s">
        <v>17</v>
      </c>
      <c r="H85">
        <v>24746</v>
      </c>
      <c r="I85" s="4"/>
    </row>
    <row r="86" spans="1:11" x14ac:dyDescent="0.35">
      <c r="A86" s="9">
        <v>216</v>
      </c>
      <c r="B86" s="4" t="s">
        <v>57</v>
      </c>
      <c r="C86" s="4" t="s">
        <v>58</v>
      </c>
      <c r="D86" s="10">
        <v>433</v>
      </c>
      <c r="E86">
        <v>298</v>
      </c>
      <c r="F86" t="s">
        <v>43</v>
      </c>
      <c r="G86" t="s">
        <v>17</v>
      </c>
      <c r="H86">
        <v>15361</v>
      </c>
      <c r="I86" s="4"/>
    </row>
    <row r="87" spans="1:11" x14ac:dyDescent="0.35">
      <c r="A87" s="9">
        <v>293</v>
      </c>
      <c r="B87" s="4" t="s">
        <v>126</v>
      </c>
      <c r="C87" s="4" t="s">
        <v>68</v>
      </c>
      <c r="D87" s="10">
        <v>431</v>
      </c>
      <c r="E87">
        <v>229</v>
      </c>
      <c r="F87" t="s">
        <v>157</v>
      </c>
      <c r="G87" t="s">
        <v>17</v>
      </c>
      <c r="H87">
        <v>15216</v>
      </c>
      <c r="I87" s="4"/>
    </row>
    <row r="88" spans="1:11" x14ac:dyDescent="0.35">
      <c r="A88" s="9">
        <v>208</v>
      </c>
      <c r="B88" s="4" t="s">
        <v>44</v>
      </c>
      <c r="C88" s="4" t="s">
        <v>45</v>
      </c>
      <c r="D88" s="10">
        <v>418</v>
      </c>
      <c r="E88">
        <v>246</v>
      </c>
      <c r="F88" t="s">
        <v>40</v>
      </c>
      <c r="G88" t="s">
        <v>17</v>
      </c>
      <c r="H88">
        <v>9202</v>
      </c>
      <c r="I88" s="4"/>
    </row>
    <row r="89" spans="1:11" x14ac:dyDescent="0.35">
      <c r="A89" s="9">
        <v>270</v>
      </c>
      <c r="B89" s="4" t="s">
        <v>109</v>
      </c>
      <c r="C89" s="4" t="s">
        <v>99</v>
      </c>
      <c r="D89" s="10">
        <v>418</v>
      </c>
      <c r="E89">
        <v>248</v>
      </c>
      <c r="F89" t="s">
        <v>158</v>
      </c>
      <c r="G89" t="s">
        <v>17</v>
      </c>
      <c r="H89">
        <v>6539</v>
      </c>
      <c r="I89" s="4"/>
    </row>
    <row r="90" spans="1:11" x14ac:dyDescent="0.35">
      <c r="A90" s="9">
        <v>310</v>
      </c>
      <c r="B90" s="4" t="s">
        <v>138</v>
      </c>
      <c r="C90" s="4" t="s">
        <v>22</v>
      </c>
      <c r="D90" s="10">
        <v>406</v>
      </c>
      <c r="E90" s="4">
        <v>242</v>
      </c>
      <c r="F90" s="4" t="s">
        <v>162</v>
      </c>
      <c r="G90" s="4" t="s">
        <v>17</v>
      </c>
      <c r="H90" s="4">
        <v>4103</v>
      </c>
      <c r="I90" s="4"/>
    </row>
    <row r="91" spans="1:11" x14ac:dyDescent="0.35">
      <c r="A91" s="9">
        <v>327</v>
      </c>
      <c r="B91" s="4" t="s">
        <v>35</v>
      </c>
      <c r="C91" s="4" t="s">
        <v>17</v>
      </c>
      <c r="D91" s="10">
        <v>403</v>
      </c>
      <c r="E91" s="4">
        <v>309</v>
      </c>
      <c r="F91" s="4" t="s">
        <v>175</v>
      </c>
      <c r="G91" s="4" t="s">
        <v>17</v>
      </c>
      <c r="H91" s="4">
        <v>3111</v>
      </c>
      <c r="I91" s="4"/>
    </row>
    <row r="92" spans="1:11" x14ac:dyDescent="0.35">
      <c r="A92" s="9">
        <v>259</v>
      </c>
      <c r="B92" s="4" t="s">
        <v>98</v>
      </c>
      <c r="C92" s="4" t="s">
        <v>99</v>
      </c>
      <c r="D92" s="10">
        <v>395</v>
      </c>
      <c r="E92">
        <v>273</v>
      </c>
      <c r="F92" t="s">
        <v>28</v>
      </c>
      <c r="G92" t="s">
        <v>17</v>
      </c>
      <c r="H92">
        <v>2811</v>
      </c>
      <c r="I92" s="4"/>
    </row>
    <row r="93" spans="1:11" x14ac:dyDescent="0.35">
      <c r="A93" s="9">
        <v>294</v>
      </c>
      <c r="B93" s="4" t="s">
        <v>127</v>
      </c>
      <c r="C93" s="4" t="s">
        <v>21</v>
      </c>
      <c r="D93" s="10">
        <v>390</v>
      </c>
      <c r="E93">
        <v>223</v>
      </c>
      <c r="F93" t="s">
        <v>15</v>
      </c>
      <c r="G93" t="s">
        <v>17</v>
      </c>
      <c r="H93">
        <v>2385</v>
      </c>
      <c r="I93" s="4"/>
    </row>
    <row r="94" spans="1:11" x14ac:dyDescent="0.35">
      <c r="A94" s="9">
        <v>227</v>
      </c>
      <c r="B94" s="4" t="s">
        <v>69</v>
      </c>
      <c r="C94" s="4" t="s">
        <v>45</v>
      </c>
      <c r="D94" s="10">
        <v>365</v>
      </c>
      <c r="E94">
        <v>300</v>
      </c>
      <c r="F94" t="s">
        <v>32</v>
      </c>
      <c r="G94" t="s">
        <v>17</v>
      </c>
      <c r="H94">
        <v>2276</v>
      </c>
      <c r="I94" s="4"/>
    </row>
    <row r="95" spans="1:11" x14ac:dyDescent="0.35">
      <c r="A95" s="9">
        <v>213</v>
      </c>
      <c r="B95" s="4" t="s">
        <v>52</v>
      </c>
      <c r="C95" s="4" t="s">
        <v>53</v>
      </c>
      <c r="D95" s="10">
        <v>360</v>
      </c>
      <c r="E95">
        <v>277</v>
      </c>
      <c r="F95" t="s">
        <v>19</v>
      </c>
      <c r="G95" t="s">
        <v>17</v>
      </c>
      <c r="H95">
        <v>2146</v>
      </c>
      <c r="I95" s="4"/>
    </row>
    <row r="96" spans="1:11" x14ac:dyDescent="0.35">
      <c r="A96" s="9">
        <v>226</v>
      </c>
      <c r="B96" s="4" t="s">
        <v>67</v>
      </c>
      <c r="C96" s="4" t="s">
        <v>68</v>
      </c>
      <c r="D96" s="10">
        <v>360</v>
      </c>
      <c r="E96">
        <v>318</v>
      </c>
      <c r="F96" t="s">
        <v>23</v>
      </c>
      <c r="G96" t="s">
        <v>17</v>
      </c>
      <c r="H96">
        <v>2004</v>
      </c>
      <c r="I96" s="4"/>
    </row>
    <row r="97" spans="1:11" x14ac:dyDescent="0.35">
      <c r="A97" s="9">
        <v>304</v>
      </c>
      <c r="B97" s="4" t="s">
        <v>133</v>
      </c>
      <c r="C97" s="4" t="s">
        <v>68</v>
      </c>
      <c r="D97" s="10">
        <v>359</v>
      </c>
      <c r="E97">
        <v>255</v>
      </c>
      <c r="F97" t="s">
        <v>27</v>
      </c>
      <c r="G97" t="s">
        <v>17</v>
      </c>
      <c r="H97">
        <v>1925</v>
      </c>
      <c r="I97" s="4"/>
    </row>
    <row r="98" spans="1:11" x14ac:dyDescent="0.35">
      <c r="A98" s="9">
        <v>329</v>
      </c>
      <c r="B98" s="4" t="s">
        <v>150</v>
      </c>
      <c r="C98" s="4" t="s">
        <v>18</v>
      </c>
      <c r="D98" s="10">
        <v>354</v>
      </c>
      <c r="E98">
        <v>292</v>
      </c>
      <c r="F98" t="s">
        <v>31</v>
      </c>
      <c r="G98" t="s">
        <v>17</v>
      </c>
      <c r="H98">
        <v>1767</v>
      </c>
      <c r="I98" s="4"/>
    </row>
    <row r="99" spans="1:11" x14ac:dyDescent="0.35">
      <c r="A99" s="9">
        <v>280</v>
      </c>
      <c r="B99" s="4" t="s">
        <v>107</v>
      </c>
      <c r="C99" s="4" t="s">
        <v>116</v>
      </c>
      <c r="D99" s="10">
        <v>353</v>
      </c>
      <c r="E99">
        <v>288</v>
      </c>
      <c r="F99" t="s">
        <v>30</v>
      </c>
      <c r="G99" t="s">
        <v>17</v>
      </c>
      <c r="H99">
        <v>1542</v>
      </c>
      <c r="I99" s="4"/>
    </row>
    <row r="100" spans="1:11" x14ac:dyDescent="0.35">
      <c r="A100" s="9">
        <v>289</v>
      </c>
      <c r="B100" s="4" t="s">
        <v>123</v>
      </c>
      <c r="C100" s="4" t="s">
        <v>68</v>
      </c>
      <c r="D100" s="10">
        <v>349</v>
      </c>
      <c r="E100">
        <v>281</v>
      </c>
      <c r="F100" t="s">
        <v>29</v>
      </c>
      <c r="G100" t="s">
        <v>17</v>
      </c>
      <c r="H100">
        <v>1308</v>
      </c>
      <c r="I100" s="4"/>
    </row>
    <row r="101" spans="1:11" x14ac:dyDescent="0.35">
      <c r="A101" s="9">
        <v>324</v>
      </c>
      <c r="B101" s="4" t="s">
        <v>148</v>
      </c>
      <c r="C101" s="4" t="s">
        <v>18</v>
      </c>
      <c r="D101" s="10">
        <v>346</v>
      </c>
      <c r="E101">
        <v>322</v>
      </c>
      <c r="F101" t="s">
        <v>34</v>
      </c>
      <c r="G101" t="s">
        <v>17</v>
      </c>
      <c r="H101">
        <v>971</v>
      </c>
      <c r="I101" s="4"/>
    </row>
    <row r="102" spans="1:11" x14ac:dyDescent="0.35">
      <c r="A102" s="9">
        <v>272</v>
      </c>
      <c r="B102" s="4" t="s">
        <v>111</v>
      </c>
      <c r="C102" s="4" t="s">
        <v>68</v>
      </c>
      <c r="D102" s="10">
        <v>340</v>
      </c>
      <c r="E102">
        <v>234</v>
      </c>
      <c r="F102" t="s">
        <v>39</v>
      </c>
      <c r="G102" t="s">
        <v>17</v>
      </c>
      <c r="H102">
        <v>799</v>
      </c>
      <c r="I102" s="4"/>
    </row>
    <row r="103" spans="1:11" x14ac:dyDescent="0.35">
      <c r="A103" s="9">
        <v>315</v>
      </c>
      <c r="B103" s="4" t="s">
        <v>142</v>
      </c>
      <c r="C103" s="4" t="s">
        <v>68</v>
      </c>
      <c r="D103" s="10">
        <v>339</v>
      </c>
      <c r="E103">
        <v>314</v>
      </c>
      <c r="F103" t="s">
        <v>33</v>
      </c>
      <c r="G103" t="s">
        <v>17</v>
      </c>
      <c r="H103">
        <v>687</v>
      </c>
      <c r="I103" s="4"/>
    </row>
    <row r="104" spans="1:11" x14ac:dyDescent="0.35">
      <c r="A104" s="9">
        <v>279</v>
      </c>
      <c r="B104" s="4" t="s">
        <v>115</v>
      </c>
      <c r="C104" s="4" t="s">
        <v>116</v>
      </c>
      <c r="D104" s="10">
        <v>332</v>
      </c>
      <c r="E104">
        <v>237</v>
      </c>
      <c r="F104" t="s">
        <v>26</v>
      </c>
      <c r="G104" t="s">
        <v>17</v>
      </c>
      <c r="H104">
        <v>605</v>
      </c>
      <c r="I104" s="4"/>
    </row>
    <row r="105" spans="1:11" x14ac:dyDescent="0.35">
      <c r="A105" s="9">
        <v>236</v>
      </c>
      <c r="B105" s="4" t="s">
        <v>79</v>
      </c>
      <c r="C105" s="4" t="s">
        <v>78</v>
      </c>
      <c r="D105" s="10">
        <v>325</v>
      </c>
      <c r="E105">
        <v>327</v>
      </c>
      <c r="F105" t="s">
        <v>35</v>
      </c>
      <c r="G105" t="s">
        <v>17</v>
      </c>
      <c r="H105">
        <v>403</v>
      </c>
      <c r="I105" s="4"/>
    </row>
    <row r="106" spans="1:11" x14ac:dyDescent="0.35">
      <c r="A106" s="9">
        <v>291</v>
      </c>
      <c r="B106" s="4" t="s">
        <v>125</v>
      </c>
      <c r="C106" s="4" t="s">
        <v>68</v>
      </c>
      <c r="D106" s="10">
        <v>324</v>
      </c>
      <c r="E106">
        <v>257</v>
      </c>
      <c r="F106" t="s">
        <v>37</v>
      </c>
      <c r="G106" t="s">
        <v>38</v>
      </c>
      <c r="H106">
        <v>1554</v>
      </c>
      <c r="I106" s="4"/>
    </row>
    <row r="107" spans="1:11" x14ac:dyDescent="0.35">
      <c r="A107" s="9">
        <v>230</v>
      </c>
      <c r="B107" s="4" t="s">
        <v>72</v>
      </c>
      <c r="C107" s="4" t="s">
        <v>45</v>
      </c>
      <c r="D107" s="10">
        <v>317</v>
      </c>
      <c r="E107" s="4">
        <v>220</v>
      </c>
      <c r="F107" s="4" t="s">
        <v>172</v>
      </c>
      <c r="G107" s="4" t="s">
        <v>173</v>
      </c>
      <c r="H107" s="4">
        <v>3387</v>
      </c>
      <c r="I107" s="4">
        <f>SUM(H83:H107)</f>
        <v>164665</v>
      </c>
      <c r="J107">
        <v>25</v>
      </c>
      <c r="K107">
        <f>I107/J107</f>
        <v>6586.6</v>
      </c>
    </row>
    <row r="108" spans="1:11" x14ac:dyDescent="0.35">
      <c r="A108" s="9">
        <v>320</v>
      </c>
      <c r="B108" s="4" t="s">
        <v>146</v>
      </c>
      <c r="C108" s="4" t="s">
        <v>99</v>
      </c>
      <c r="D108" s="10">
        <v>314</v>
      </c>
      <c r="E108">
        <v>233</v>
      </c>
      <c r="F108" t="s">
        <v>75</v>
      </c>
      <c r="G108" t="s">
        <v>76</v>
      </c>
      <c r="H108">
        <v>149</v>
      </c>
      <c r="I108" s="4">
        <v>149</v>
      </c>
    </row>
    <row r="109" spans="1:11" x14ac:dyDescent="0.35">
      <c r="A109" s="9">
        <v>228</v>
      </c>
      <c r="B109" s="4" t="s">
        <v>70</v>
      </c>
      <c r="C109" s="4" t="s">
        <v>71</v>
      </c>
      <c r="D109" s="10">
        <v>291</v>
      </c>
      <c r="E109">
        <v>208</v>
      </c>
      <c r="F109" t="s">
        <v>44</v>
      </c>
      <c r="G109" t="s">
        <v>45</v>
      </c>
      <c r="H109">
        <v>418</v>
      </c>
      <c r="I109" s="4"/>
    </row>
    <row r="110" spans="1:11" x14ac:dyDescent="0.35">
      <c r="A110" s="9">
        <v>317</v>
      </c>
      <c r="B110" s="4" t="s">
        <v>144</v>
      </c>
      <c r="C110" s="4" t="s">
        <v>22</v>
      </c>
      <c r="D110" s="10">
        <v>291</v>
      </c>
      <c r="E110">
        <v>227</v>
      </c>
      <c r="F110" t="s">
        <v>69</v>
      </c>
      <c r="G110" t="s">
        <v>45</v>
      </c>
      <c r="H110">
        <v>365</v>
      </c>
      <c r="I110" s="4"/>
    </row>
    <row r="111" spans="1:11" x14ac:dyDescent="0.35">
      <c r="A111" s="9">
        <v>240</v>
      </c>
      <c r="B111" s="4" t="s">
        <v>83</v>
      </c>
      <c r="C111" s="4" t="s">
        <v>84</v>
      </c>
      <c r="D111" s="10">
        <v>288</v>
      </c>
      <c r="E111">
        <v>230</v>
      </c>
      <c r="F111" t="s">
        <v>72</v>
      </c>
      <c r="G111" t="s">
        <v>45</v>
      </c>
      <c r="H111">
        <v>317</v>
      </c>
      <c r="I111" s="4">
        <f>3199+H111+H110+H109</f>
        <v>4299</v>
      </c>
      <c r="J111">
        <v>3</v>
      </c>
      <c r="K111">
        <f>I111/3</f>
        <v>1433</v>
      </c>
    </row>
    <row r="112" spans="1:11" x14ac:dyDescent="0.35">
      <c r="A112" s="9">
        <v>264</v>
      </c>
      <c r="B112" s="4" t="s">
        <v>104</v>
      </c>
      <c r="C112" s="4" t="s">
        <v>103</v>
      </c>
      <c r="D112" s="10">
        <v>271</v>
      </c>
      <c r="E112">
        <v>225</v>
      </c>
      <c r="F112" t="s">
        <v>66</v>
      </c>
      <c r="G112" t="s">
        <v>16</v>
      </c>
      <c r="H112">
        <v>1275</v>
      </c>
      <c r="I112" s="4"/>
    </row>
    <row r="113" spans="1:11" x14ac:dyDescent="0.35">
      <c r="A113" s="9">
        <v>328</v>
      </c>
      <c r="B113" s="4" t="s">
        <v>149</v>
      </c>
      <c r="C113" s="4" t="s">
        <v>141</v>
      </c>
      <c r="D113" s="10">
        <v>268</v>
      </c>
      <c r="E113">
        <v>224</v>
      </c>
      <c r="F113" t="s">
        <v>154</v>
      </c>
      <c r="G113" t="s">
        <v>16</v>
      </c>
      <c r="H113">
        <v>187</v>
      </c>
      <c r="I113" s="4"/>
    </row>
    <row r="114" spans="1:11" x14ac:dyDescent="0.35">
      <c r="A114" s="9">
        <v>249</v>
      </c>
      <c r="B114" s="4" t="s">
        <v>193</v>
      </c>
      <c r="C114" s="4" t="s">
        <v>74</v>
      </c>
      <c r="D114" s="10">
        <v>242</v>
      </c>
      <c r="E114">
        <v>206</v>
      </c>
      <c r="F114" t="s">
        <v>166</v>
      </c>
      <c r="G114" t="s">
        <v>167</v>
      </c>
      <c r="H114">
        <v>468</v>
      </c>
      <c r="I114" s="4"/>
    </row>
    <row r="115" spans="1:11" x14ac:dyDescent="0.35">
      <c r="A115" s="9">
        <v>222</v>
      </c>
      <c r="B115" s="4" t="s">
        <v>64</v>
      </c>
      <c r="C115" s="4" t="s">
        <v>58</v>
      </c>
      <c r="D115" s="10">
        <v>229</v>
      </c>
      <c r="E115" s="4">
        <v>205</v>
      </c>
      <c r="F115" s="4" t="s">
        <v>168</v>
      </c>
      <c r="G115" s="4" t="s">
        <v>177</v>
      </c>
      <c r="H115" s="4">
        <v>633</v>
      </c>
      <c r="I115" s="4"/>
    </row>
    <row r="116" spans="1:11" x14ac:dyDescent="0.35">
      <c r="A116" s="9">
        <v>269</v>
      </c>
      <c r="B116" s="4" t="s">
        <v>108</v>
      </c>
      <c r="C116" s="4" t="s">
        <v>99</v>
      </c>
      <c r="D116" s="10">
        <v>217</v>
      </c>
      <c r="E116" s="4">
        <v>207</v>
      </c>
      <c r="F116" s="4" t="s">
        <v>164</v>
      </c>
      <c r="G116" s="4" t="s">
        <v>165</v>
      </c>
      <c r="H116" s="4">
        <v>3782</v>
      </c>
      <c r="I116" s="4">
        <f>SUM(H112:H116)</f>
        <v>6345</v>
      </c>
      <c r="J116">
        <v>5</v>
      </c>
      <c r="K116">
        <f>I116/J116</f>
        <v>1269</v>
      </c>
    </row>
    <row r="117" spans="1:11" x14ac:dyDescent="0.35">
      <c r="A117" s="9">
        <v>224</v>
      </c>
      <c r="B117" s="4" t="s">
        <v>154</v>
      </c>
      <c r="C117" s="4" t="s">
        <v>16</v>
      </c>
      <c r="D117" s="10">
        <v>187</v>
      </c>
      <c r="E117" s="4">
        <v>303</v>
      </c>
      <c r="F117" s="4" t="s">
        <v>161</v>
      </c>
      <c r="G117" s="4" t="s">
        <v>22</v>
      </c>
      <c r="H117" s="4">
        <v>4578</v>
      </c>
      <c r="I117" s="4"/>
    </row>
    <row r="118" spans="1:11" x14ac:dyDescent="0.35">
      <c r="A118" s="9">
        <v>231</v>
      </c>
      <c r="B118" s="4" t="s">
        <v>73</v>
      </c>
      <c r="C118" s="4" t="s">
        <v>54</v>
      </c>
      <c r="D118" s="10">
        <v>182</v>
      </c>
      <c r="E118">
        <v>305</v>
      </c>
      <c r="F118" t="s">
        <v>134</v>
      </c>
      <c r="G118" t="s">
        <v>22</v>
      </c>
      <c r="H118">
        <v>600</v>
      </c>
      <c r="I118" s="4"/>
    </row>
    <row r="119" spans="1:11" x14ac:dyDescent="0.35">
      <c r="A119" s="9">
        <v>263</v>
      </c>
      <c r="B119" s="4" t="s">
        <v>102</v>
      </c>
      <c r="C119" s="4" t="s">
        <v>103</v>
      </c>
      <c r="D119" s="10">
        <v>170</v>
      </c>
      <c r="E119">
        <v>307</v>
      </c>
      <c r="F119" t="s">
        <v>136</v>
      </c>
      <c r="G119" t="s">
        <v>22</v>
      </c>
      <c r="H119">
        <v>542</v>
      </c>
      <c r="I119" s="4"/>
    </row>
    <row r="120" spans="1:11" x14ac:dyDescent="0.35">
      <c r="A120" s="9">
        <v>233</v>
      </c>
      <c r="B120" s="4" t="s">
        <v>75</v>
      </c>
      <c r="C120" s="4" t="s">
        <v>76</v>
      </c>
      <c r="D120" s="10">
        <v>149</v>
      </c>
      <c r="E120">
        <v>310</v>
      </c>
      <c r="F120" t="s">
        <v>138</v>
      </c>
      <c r="G120" t="s">
        <v>22</v>
      </c>
      <c r="H120">
        <v>406</v>
      </c>
      <c r="I120" s="4"/>
    </row>
    <row r="121" spans="1:11" x14ac:dyDescent="0.35">
      <c r="A121" s="9">
        <v>221</v>
      </c>
      <c r="B121" s="4" t="s">
        <v>63</v>
      </c>
      <c r="C121" s="4" t="s">
        <v>18</v>
      </c>
      <c r="D121" s="10">
        <v>139</v>
      </c>
      <c r="E121">
        <v>317</v>
      </c>
      <c r="F121" t="s">
        <v>144</v>
      </c>
      <c r="G121" t="s">
        <v>22</v>
      </c>
      <c r="H121">
        <v>291</v>
      </c>
      <c r="I121" s="4">
        <f>SUM(H117:H121)</f>
        <v>6417</v>
      </c>
      <c r="J121">
        <v>5</v>
      </c>
      <c r="K121">
        <f>I121/J121</f>
        <v>1283.4000000000001</v>
      </c>
    </row>
    <row r="122" spans="1:11" x14ac:dyDescent="0.35">
      <c r="A122" s="9">
        <v>218</v>
      </c>
      <c r="B122" s="4" t="s">
        <v>60</v>
      </c>
      <c r="C122" s="4" t="s">
        <v>61</v>
      </c>
      <c r="D122" s="10">
        <v>135</v>
      </c>
      <c r="E122">
        <v>251</v>
      </c>
      <c r="F122" t="s">
        <v>93</v>
      </c>
      <c r="G122" t="s">
        <v>94</v>
      </c>
      <c r="H122">
        <v>1130</v>
      </c>
      <c r="I122" s="4"/>
    </row>
    <row r="123" spans="1:11" ht="15" thickBot="1" x14ac:dyDescent="0.4">
      <c r="A123" s="14">
        <v>210</v>
      </c>
      <c r="B123" s="15" t="s">
        <v>48</v>
      </c>
      <c r="C123" s="15" t="s">
        <v>49</v>
      </c>
      <c r="D123" s="16">
        <v>131</v>
      </c>
      <c r="E123">
        <v>252</v>
      </c>
      <c r="F123" t="s">
        <v>95</v>
      </c>
      <c r="G123" t="s">
        <v>94</v>
      </c>
      <c r="H123">
        <v>599</v>
      </c>
      <c r="I123" s="4">
        <f>SUM(H122:H123)</f>
        <v>1729</v>
      </c>
    </row>
    <row r="124" spans="1:11" x14ac:dyDescent="0.35">
      <c r="D124">
        <f>SUM(D2:D123)</f>
        <v>306756</v>
      </c>
      <c r="E124" t="s">
        <v>151</v>
      </c>
      <c r="F124" t="s">
        <v>179</v>
      </c>
      <c r="G124" t="s">
        <v>178</v>
      </c>
      <c r="H124">
        <v>3782</v>
      </c>
      <c r="I124">
        <v>3782</v>
      </c>
      <c r="J124">
        <v>1</v>
      </c>
      <c r="K124">
        <v>3728</v>
      </c>
    </row>
    <row r="125" spans="1:11" x14ac:dyDescent="0.35">
      <c r="D125">
        <v>122</v>
      </c>
      <c r="E125" t="s">
        <v>152</v>
      </c>
    </row>
    <row r="126" spans="1:11" x14ac:dyDescent="0.35">
      <c r="D126">
        <f>D124/D125</f>
        <v>2514.3934426229507</v>
      </c>
      <c r="E126" t="s">
        <v>153</v>
      </c>
    </row>
  </sheetData>
  <sortState xmlns:xlrd2="http://schemas.microsoft.com/office/spreadsheetml/2017/richdata2" ref="E2:H123">
    <sortCondition ref="G2:G1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8419C-6BC7-4BA1-B327-26A0C3B14B3A}">
  <dimension ref="A1:AQ131"/>
  <sheetViews>
    <sheetView tabSelected="1" topLeftCell="J4" workbookViewId="0">
      <selection activeCell="O2" sqref="O2:O35"/>
    </sheetView>
  </sheetViews>
  <sheetFormatPr defaultRowHeight="14.5" x14ac:dyDescent="0.35"/>
  <cols>
    <col min="1" max="1" width="12.1796875" bestFit="1" customWidth="1"/>
    <col min="2" max="2" width="45.90625" customWidth="1"/>
    <col min="3" max="3" width="13.54296875" customWidth="1"/>
    <col min="4" max="4" width="10.81640625" bestFit="1" customWidth="1"/>
    <col min="13" max="13" width="8.7265625" style="23"/>
    <col min="15" max="15" width="29.7265625" bestFit="1" customWidth="1"/>
    <col min="16" max="16" width="12" customWidth="1"/>
    <col min="17" max="17" width="8.90625" bestFit="1" customWidth="1"/>
    <col min="21" max="21" width="49.26953125" bestFit="1" customWidth="1"/>
    <col min="22" max="22" width="26.90625" customWidth="1"/>
    <col min="24" max="24" width="3.26953125" style="23" customWidth="1"/>
    <col min="25" max="25" width="38.26953125" customWidth="1"/>
    <col min="26" max="26" width="28.453125" bestFit="1" customWidth="1"/>
    <col min="28" max="28" width="3.7265625" customWidth="1"/>
    <col min="29" max="29" width="49.26953125" bestFit="1" customWidth="1"/>
    <col min="30" max="30" width="20.81640625" customWidth="1"/>
    <col min="32" max="32" width="4" customWidth="1"/>
    <col min="33" max="33" width="38" customWidth="1"/>
    <col min="34" max="34" width="19" customWidth="1"/>
    <col min="36" max="36" width="8.7265625" style="23"/>
    <col min="37" max="37" width="44.08984375" customWidth="1"/>
    <col min="38" max="38" width="22" customWidth="1"/>
    <col min="41" max="41" width="41.08984375" customWidth="1"/>
    <col min="42" max="42" width="27.81640625" customWidth="1"/>
    <col min="43" max="43" width="9" bestFit="1" customWidth="1"/>
  </cols>
  <sheetData>
    <row r="1" spans="1:43" x14ac:dyDescent="0.35">
      <c r="A1" s="4" t="s">
        <v>202</v>
      </c>
      <c r="B1" s="4" t="s">
        <v>199</v>
      </c>
      <c r="C1" s="4" t="s">
        <v>200</v>
      </c>
      <c r="D1" s="4" t="s">
        <v>211</v>
      </c>
      <c r="E1">
        <v>1952</v>
      </c>
      <c r="F1">
        <v>1953</v>
      </c>
      <c r="G1">
        <v>1954</v>
      </c>
      <c r="H1">
        <v>1955</v>
      </c>
      <c r="I1">
        <v>1956</v>
      </c>
      <c r="J1">
        <v>1957</v>
      </c>
      <c r="K1">
        <v>1958</v>
      </c>
      <c r="L1">
        <v>1959</v>
      </c>
      <c r="M1" s="23">
        <v>1960</v>
      </c>
      <c r="N1" t="s">
        <v>330</v>
      </c>
      <c r="P1" t="s">
        <v>180</v>
      </c>
      <c r="Q1" t="s">
        <v>359</v>
      </c>
      <c r="R1">
        <v>1954</v>
      </c>
      <c r="S1">
        <v>1955</v>
      </c>
      <c r="U1" t="s">
        <v>345</v>
      </c>
      <c r="V1" t="s">
        <v>346</v>
      </c>
      <c r="W1" t="s">
        <v>347</v>
      </c>
      <c r="Y1" t="s">
        <v>336</v>
      </c>
      <c r="Z1" t="s">
        <v>337</v>
      </c>
      <c r="AA1" t="s">
        <v>338</v>
      </c>
      <c r="AC1" t="s">
        <v>341</v>
      </c>
      <c r="AD1" t="s">
        <v>340</v>
      </c>
      <c r="AE1" t="s">
        <v>339</v>
      </c>
      <c r="AG1" t="s">
        <v>342</v>
      </c>
      <c r="AH1" t="s">
        <v>343</v>
      </c>
      <c r="AI1" t="s">
        <v>344</v>
      </c>
      <c r="AK1" s="23" t="s">
        <v>348</v>
      </c>
      <c r="AL1" s="23" t="s">
        <v>349</v>
      </c>
      <c r="AM1" s="23" t="s">
        <v>350</v>
      </c>
      <c r="AO1" t="s">
        <v>414</v>
      </c>
      <c r="AP1" t="s">
        <v>415</v>
      </c>
      <c r="AQ1" t="s">
        <v>416</v>
      </c>
    </row>
    <row r="2" spans="1:43" x14ac:dyDescent="0.35">
      <c r="A2" s="4">
        <v>202</v>
      </c>
      <c r="B2" s="4" t="s">
        <v>203</v>
      </c>
      <c r="C2" s="4" t="s">
        <v>204</v>
      </c>
      <c r="D2" s="4">
        <f>SUM(E2:M2)</f>
        <v>108</v>
      </c>
      <c r="H2">
        <v>43</v>
      </c>
      <c r="I2">
        <v>39</v>
      </c>
      <c r="J2">
        <v>26</v>
      </c>
      <c r="N2" t="s">
        <v>331</v>
      </c>
      <c r="O2" t="s">
        <v>332</v>
      </c>
      <c r="P2" t="s">
        <v>543</v>
      </c>
      <c r="Q2">
        <v>1954</v>
      </c>
      <c r="R2">
        <v>123</v>
      </c>
      <c r="S2">
        <f>127-123</f>
        <v>4</v>
      </c>
      <c r="U2" s="21" t="s">
        <v>164</v>
      </c>
      <c r="V2" s="21" t="s">
        <v>165</v>
      </c>
      <c r="W2" s="22">
        <f>2967-381</f>
        <v>2586</v>
      </c>
      <c r="Y2" s="21" t="s">
        <v>36</v>
      </c>
      <c r="Z2" s="21" t="s">
        <v>325</v>
      </c>
      <c r="AA2" s="22">
        <v>7083</v>
      </c>
      <c r="AC2" s="21" t="s">
        <v>252</v>
      </c>
      <c r="AD2" s="21" t="s">
        <v>18</v>
      </c>
      <c r="AE2" s="22">
        <v>25280</v>
      </c>
      <c r="AG2" s="21" t="s">
        <v>42</v>
      </c>
      <c r="AH2" s="21" t="s">
        <v>17</v>
      </c>
      <c r="AI2" s="22">
        <f>23069-890</f>
        <v>22179</v>
      </c>
      <c r="AJ2" s="24"/>
      <c r="AK2" s="21" t="s">
        <v>43</v>
      </c>
      <c r="AL2" s="21" t="s">
        <v>17</v>
      </c>
      <c r="AM2" s="22">
        <v>14483</v>
      </c>
      <c r="AO2" s="21" t="s">
        <v>160</v>
      </c>
      <c r="AP2" s="21" t="s">
        <v>18</v>
      </c>
      <c r="AQ2" s="22">
        <f>4356+802+154</f>
        <v>5312</v>
      </c>
    </row>
    <row r="3" spans="1:43" x14ac:dyDescent="0.35">
      <c r="A3" s="4">
        <v>203</v>
      </c>
      <c r="B3" s="4" t="s">
        <v>205</v>
      </c>
      <c r="C3" s="4" t="s">
        <v>45</v>
      </c>
      <c r="D3" s="4"/>
      <c r="N3">
        <v>502</v>
      </c>
      <c r="O3" t="s">
        <v>333</v>
      </c>
      <c r="P3" t="s">
        <v>47</v>
      </c>
      <c r="Q3">
        <v>1954</v>
      </c>
      <c r="R3">
        <v>131</v>
      </c>
      <c r="S3">
        <f>147-131</f>
        <v>16</v>
      </c>
      <c r="U3" s="21" t="s">
        <v>170</v>
      </c>
      <c r="V3" s="21" t="s">
        <v>171</v>
      </c>
      <c r="W3" s="22">
        <v>1919</v>
      </c>
      <c r="Y3" s="21" t="s">
        <v>157</v>
      </c>
      <c r="Z3" s="21" t="s">
        <v>17</v>
      </c>
      <c r="AA3" s="22">
        <v>6135</v>
      </c>
      <c r="AC3" s="21" t="s">
        <v>36</v>
      </c>
      <c r="AD3" s="21" t="s">
        <v>17</v>
      </c>
      <c r="AE3" s="22">
        <f>31626-7083</f>
        <v>24543</v>
      </c>
      <c r="AG3" s="21" t="s">
        <v>156</v>
      </c>
      <c r="AH3" s="21" t="s">
        <v>413</v>
      </c>
      <c r="AI3" s="22">
        <v>13870</v>
      </c>
      <c r="AJ3" s="24"/>
      <c r="AK3" s="30" t="s">
        <v>377</v>
      </c>
      <c r="AL3" s="30" t="s">
        <v>25</v>
      </c>
      <c r="AM3" s="30">
        <v>6623</v>
      </c>
      <c r="AO3" s="21" t="s">
        <v>175</v>
      </c>
      <c r="AP3" s="21" t="s">
        <v>17</v>
      </c>
      <c r="AQ3" s="22">
        <f>2339+319+85</f>
        <v>2743</v>
      </c>
    </row>
    <row r="4" spans="1:43" x14ac:dyDescent="0.35">
      <c r="A4" s="4">
        <v>204</v>
      </c>
      <c r="B4" s="17" t="s">
        <v>206</v>
      </c>
      <c r="C4" s="17" t="s">
        <v>207</v>
      </c>
      <c r="D4" s="4"/>
      <c r="N4">
        <v>503</v>
      </c>
      <c r="O4" t="s">
        <v>334</v>
      </c>
      <c r="P4" t="s">
        <v>544</v>
      </c>
      <c r="Q4">
        <v>50</v>
      </c>
      <c r="S4">
        <v>30</v>
      </c>
      <c r="U4" s="21" t="s">
        <v>329</v>
      </c>
      <c r="V4" s="21" t="s">
        <v>220</v>
      </c>
      <c r="W4" s="22">
        <v>1050</v>
      </c>
      <c r="Y4" s="21" t="s">
        <v>172</v>
      </c>
      <c r="Z4" s="21" t="s">
        <v>173</v>
      </c>
      <c r="AA4" s="22">
        <v>1751</v>
      </c>
      <c r="AC4" s="21" t="s">
        <v>41</v>
      </c>
      <c r="AD4" s="21" t="s">
        <v>17</v>
      </c>
      <c r="AE4" s="22">
        <v>16570</v>
      </c>
      <c r="AG4" s="21" t="s">
        <v>41</v>
      </c>
      <c r="AH4" s="21" t="s">
        <v>412</v>
      </c>
      <c r="AI4" s="22">
        <v>8011</v>
      </c>
      <c r="AJ4" s="24"/>
      <c r="AK4" s="30" t="s">
        <v>372</v>
      </c>
      <c r="AL4" s="30" t="s">
        <v>18</v>
      </c>
      <c r="AM4" s="30">
        <v>6476</v>
      </c>
      <c r="AO4" s="21" t="s">
        <v>309</v>
      </c>
      <c r="AP4" s="21" t="s">
        <v>17</v>
      </c>
      <c r="AQ4" s="22">
        <f>1008+834+85</f>
        <v>1927</v>
      </c>
    </row>
    <row r="5" spans="1:43" x14ac:dyDescent="0.35">
      <c r="A5" s="17">
        <v>204</v>
      </c>
      <c r="B5" s="17" t="s">
        <v>324</v>
      </c>
      <c r="C5" s="17" t="s">
        <v>16</v>
      </c>
      <c r="D5" s="4">
        <f>526+31</f>
        <v>557</v>
      </c>
      <c r="E5">
        <v>324</v>
      </c>
      <c r="F5">
        <v>58</v>
      </c>
      <c r="H5">
        <v>30</v>
      </c>
      <c r="I5">
        <v>116</v>
      </c>
      <c r="J5">
        <v>31</v>
      </c>
      <c r="N5">
        <v>5013</v>
      </c>
      <c r="O5" t="s">
        <v>335</v>
      </c>
      <c r="P5" t="s">
        <v>386</v>
      </c>
      <c r="Q5">
        <v>50</v>
      </c>
      <c r="S5">
        <v>152</v>
      </c>
      <c r="U5" s="21" t="s">
        <v>172</v>
      </c>
      <c r="V5" s="21" t="s">
        <v>173</v>
      </c>
      <c r="W5" s="22">
        <v>876</v>
      </c>
      <c r="Y5" s="21" t="s">
        <v>231</v>
      </c>
      <c r="Z5" s="21" t="s">
        <v>16</v>
      </c>
      <c r="AA5" s="22">
        <v>1112</v>
      </c>
      <c r="AC5" s="21" t="s">
        <v>157</v>
      </c>
      <c r="AD5" s="21" t="s">
        <v>412</v>
      </c>
      <c r="AE5" s="22">
        <f>15006-6135</f>
        <v>8871</v>
      </c>
      <c r="AG5" s="21" t="s">
        <v>163</v>
      </c>
      <c r="AH5" s="21" t="s">
        <v>18</v>
      </c>
      <c r="AI5" s="22">
        <v>3720</v>
      </c>
      <c r="AJ5" s="24"/>
      <c r="AK5" s="21" t="s">
        <v>159</v>
      </c>
      <c r="AL5" s="21" t="s">
        <v>18</v>
      </c>
      <c r="AM5" s="22">
        <v>5340</v>
      </c>
      <c r="AO5" s="30" t="s">
        <v>421</v>
      </c>
      <c r="AP5" s="30" t="s">
        <v>18</v>
      </c>
      <c r="AQ5" s="30">
        <f>495+870</f>
        <v>1365</v>
      </c>
    </row>
    <row r="6" spans="1:43" x14ac:dyDescent="0.35">
      <c r="A6" s="4">
        <v>205</v>
      </c>
      <c r="B6" s="4" t="s">
        <v>168</v>
      </c>
      <c r="C6" s="4" t="s">
        <v>169</v>
      </c>
      <c r="D6" s="4">
        <v>633</v>
      </c>
      <c r="G6">
        <v>442</v>
      </c>
      <c r="H6">
        <v>99</v>
      </c>
      <c r="I6">
        <v>65</v>
      </c>
      <c r="J6">
        <v>27</v>
      </c>
      <c r="N6">
        <v>5014</v>
      </c>
      <c r="O6" t="s">
        <v>353</v>
      </c>
      <c r="P6" t="s">
        <v>386</v>
      </c>
      <c r="Q6">
        <v>50</v>
      </c>
      <c r="S6">
        <f>105+122</f>
        <v>227</v>
      </c>
      <c r="U6" s="21" t="s">
        <v>209</v>
      </c>
      <c r="V6" s="21" t="s">
        <v>210</v>
      </c>
      <c r="W6" s="22">
        <v>752</v>
      </c>
      <c r="Y6" s="21" t="s">
        <v>230</v>
      </c>
      <c r="Z6" s="21" t="s">
        <v>17</v>
      </c>
      <c r="AA6" s="22">
        <v>1010</v>
      </c>
      <c r="AC6" s="21" t="s">
        <v>40</v>
      </c>
      <c r="AD6" s="21" t="s">
        <v>412</v>
      </c>
      <c r="AE6" s="22">
        <v>7197</v>
      </c>
      <c r="AG6" s="21" t="s">
        <v>252</v>
      </c>
      <c r="AH6" s="21" t="s">
        <v>18</v>
      </c>
      <c r="AI6" s="22">
        <v>2853</v>
      </c>
      <c r="AJ6" s="24"/>
      <c r="AK6" s="21" t="s">
        <v>161</v>
      </c>
      <c r="AL6" s="21" t="s">
        <v>294</v>
      </c>
      <c r="AM6" s="22">
        <v>4385</v>
      </c>
      <c r="AO6" s="21" t="s">
        <v>303</v>
      </c>
      <c r="AP6" s="21" t="s">
        <v>304</v>
      </c>
      <c r="AQ6" s="22">
        <f>1006+213+31</f>
        <v>1250</v>
      </c>
    </row>
    <row r="7" spans="1:43" x14ac:dyDescent="0.35">
      <c r="A7" s="4">
        <v>206</v>
      </c>
      <c r="B7" s="4" t="s">
        <v>166</v>
      </c>
      <c r="C7" s="4" t="s">
        <v>167</v>
      </c>
      <c r="D7" s="4">
        <v>487</v>
      </c>
      <c r="F7">
        <f>212+11</f>
        <v>223</v>
      </c>
      <c r="G7">
        <v>191</v>
      </c>
      <c r="H7">
        <v>43</v>
      </c>
      <c r="I7">
        <v>24</v>
      </c>
      <c r="J7">
        <v>6</v>
      </c>
      <c r="N7">
        <v>5020</v>
      </c>
      <c r="O7" t="s">
        <v>391</v>
      </c>
      <c r="P7" t="s">
        <v>536</v>
      </c>
      <c r="S7">
        <f>87+18</f>
        <v>105</v>
      </c>
      <c r="U7" s="19" t="s">
        <v>222</v>
      </c>
      <c r="V7" s="19" t="s">
        <v>54</v>
      </c>
      <c r="W7" s="20">
        <v>667</v>
      </c>
      <c r="Y7" s="19" t="s">
        <v>164</v>
      </c>
      <c r="Z7" s="19" t="s">
        <v>165</v>
      </c>
      <c r="AA7" s="20">
        <f>3571-2586</f>
        <v>985</v>
      </c>
      <c r="AC7" s="19" t="s">
        <v>158</v>
      </c>
      <c r="AD7" s="19" t="s">
        <v>17</v>
      </c>
      <c r="AE7" s="20">
        <v>5698</v>
      </c>
      <c r="AG7" s="19" t="s">
        <v>270</v>
      </c>
      <c r="AH7" s="19" t="s">
        <v>17</v>
      </c>
      <c r="AI7" s="20">
        <v>2700</v>
      </c>
      <c r="AK7" s="27" t="s">
        <v>176</v>
      </c>
      <c r="AL7" s="27" t="s">
        <v>18</v>
      </c>
      <c r="AM7" s="25">
        <v>2992</v>
      </c>
      <c r="AO7" s="19" t="s">
        <v>310</v>
      </c>
      <c r="AP7" s="19" t="s">
        <v>141</v>
      </c>
      <c r="AQ7" s="20">
        <f>650+466+105</f>
        <v>1221</v>
      </c>
    </row>
    <row r="8" spans="1:43" x14ac:dyDescent="0.35">
      <c r="A8" s="4">
        <v>207</v>
      </c>
      <c r="B8" s="4" t="s">
        <v>164</v>
      </c>
      <c r="C8" s="4" t="s">
        <v>165</v>
      </c>
      <c r="D8" s="4">
        <v>3782</v>
      </c>
      <c r="F8">
        <v>381</v>
      </c>
      <c r="G8">
        <f>2967-381</f>
        <v>2586</v>
      </c>
      <c r="H8">
        <f>3571-2586</f>
        <v>985</v>
      </c>
      <c r="I8">
        <v>150</v>
      </c>
      <c r="J8">
        <v>51</v>
      </c>
      <c r="K8">
        <v>10</v>
      </c>
      <c r="N8">
        <v>5031</v>
      </c>
      <c r="O8" t="s">
        <v>392</v>
      </c>
      <c r="P8" t="s">
        <v>537</v>
      </c>
      <c r="S8">
        <f>28</f>
        <v>28</v>
      </c>
      <c r="U8" s="19" t="s">
        <v>168</v>
      </c>
      <c r="V8" s="19" t="s">
        <v>169</v>
      </c>
      <c r="W8" s="20">
        <v>442</v>
      </c>
      <c r="Y8" s="19" t="s">
        <v>225</v>
      </c>
      <c r="Z8" s="19" t="s">
        <v>56</v>
      </c>
      <c r="AA8" s="20">
        <v>752</v>
      </c>
      <c r="AC8" s="19" t="s">
        <v>162</v>
      </c>
      <c r="AD8" s="19" t="s">
        <v>17</v>
      </c>
      <c r="AE8" s="20">
        <v>3122</v>
      </c>
      <c r="AG8" s="28" t="s">
        <v>372</v>
      </c>
      <c r="AH8" s="28" t="s">
        <v>18</v>
      </c>
      <c r="AI8" s="28">
        <v>2397</v>
      </c>
      <c r="AK8" s="28" t="s">
        <v>378</v>
      </c>
      <c r="AL8" s="28" t="s">
        <v>387</v>
      </c>
      <c r="AM8" s="28">
        <v>2539</v>
      </c>
      <c r="AO8" s="19" t="s">
        <v>318</v>
      </c>
      <c r="AP8" s="19" t="s">
        <v>25</v>
      </c>
      <c r="AQ8" s="20">
        <f>996+225</f>
        <v>1221</v>
      </c>
    </row>
    <row r="9" spans="1:43" x14ac:dyDescent="0.35">
      <c r="A9" s="4">
        <v>208</v>
      </c>
      <c r="B9" s="4" t="s">
        <v>208</v>
      </c>
      <c r="C9" s="4" t="s">
        <v>45</v>
      </c>
      <c r="D9" s="4">
        <v>418</v>
      </c>
      <c r="F9">
        <v>209</v>
      </c>
      <c r="G9">
        <f>370-209</f>
        <v>161</v>
      </c>
      <c r="H9">
        <f>391-370</f>
        <v>21</v>
      </c>
      <c r="I9">
        <v>32</v>
      </c>
      <c r="J9">
        <v>3</v>
      </c>
      <c r="N9">
        <v>5045</v>
      </c>
      <c r="O9" t="s">
        <v>393</v>
      </c>
      <c r="P9" t="s">
        <v>386</v>
      </c>
      <c r="S9">
        <f>93</f>
        <v>93</v>
      </c>
      <c r="U9" s="19" t="s">
        <v>221</v>
      </c>
      <c r="V9" s="19" t="s">
        <v>58</v>
      </c>
      <c r="W9" s="20">
        <v>218</v>
      </c>
      <c r="Y9" s="19" t="s">
        <v>189</v>
      </c>
      <c r="Z9" s="19" t="s">
        <v>74</v>
      </c>
      <c r="AA9" s="20">
        <v>553</v>
      </c>
      <c r="AC9" s="19" t="s">
        <v>156</v>
      </c>
      <c r="AD9" s="19" t="s">
        <v>413</v>
      </c>
      <c r="AE9" s="20">
        <v>1952</v>
      </c>
      <c r="AG9" s="19" t="s">
        <v>190</v>
      </c>
      <c r="AH9" s="19" t="s">
        <v>326</v>
      </c>
      <c r="AI9" s="20">
        <v>2391</v>
      </c>
      <c r="AK9" s="27" t="s">
        <v>42</v>
      </c>
      <c r="AL9" s="27" t="s">
        <v>412</v>
      </c>
      <c r="AM9" s="25">
        <v>2281</v>
      </c>
      <c r="AO9" s="19" t="s">
        <v>317</v>
      </c>
      <c r="AP9" s="19" t="s">
        <v>17</v>
      </c>
      <c r="AQ9" s="20">
        <f>126+811+35</f>
        <v>972</v>
      </c>
    </row>
    <row r="10" spans="1:43" x14ac:dyDescent="0.35">
      <c r="A10" s="4">
        <v>209</v>
      </c>
      <c r="B10" s="4" t="s">
        <v>209</v>
      </c>
      <c r="C10" s="4" t="s">
        <v>210</v>
      </c>
      <c r="D10" s="4">
        <v>1036</v>
      </c>
      <c r="G10">
        <v>752</v>
      </c>
      <c r="H10">
        <v>202</v>
      </c>
      <c r="I10">
        <v>62</v>
      </c>
      <c r="J10">
        <v>6</v>
      </c>
      <c r="N10">
        <v>5046</v>
      </c>
      <c r="O10" t="s">
        <v>351</v>
      </c>
      <c r="P10" t="s">
        <v>386</v>
      </c>
      <c r="Q10">
        <v>51</v>
      </c>
      <c r="S10">
        <f>107+303</f>
        <v>410</v>
      </c>
      <c r="U10" s="19" t="s">
        <v>218</v>
      </c>
      <c r="V10" s="19" t="s">
        <v>219</v>
      </c>
      <c r="W10" s="20">
        <v>204</v>
      </c>
      <c r="Y10" s="19" t="s">
        <v>39</v>
      </c>
      <c r="Z10" s="19" t="s">
        <v>17</v>
      </c>
      <c r="AA10" s="20">
        <v>483</v>
      </c>
      <c r="AC10" s="19" t="s">
        <v>257</v>
      </c>
      <c r="AD10" s="19" t="s">
        <v>17</v>
      </c>
      <c r="AE10" s="20">
        <v>1756</v>
      </c>
      <c r="AG10" s="19" t="s">
        <v>36</v>
      </c>
      <c r="AH10" s="19" t="s">
        <v>412</v>
      </c>
      <c r="AI10" s="20">
        <v>2362</v>
      </c>
      <c r="AK10" s="19" t="s">
        <v>290</v>
      </c>
      <c r="AL10" s="19" t="s">
        <v>116</v>
      </c>
      <c r="AM10" s="20">
        <v>1561</v>
      </c>
      <c r="AO10" s="19" t="s">
        <v>43</v>
      </c>
      <c r="AP10" s="19" t="s">
        <v>17</v>
      </c>
      <c r="AQ10" s="20">
        <f>704+115+50</f>
        <v>869</v>
      </c>
    </row>
    <row r="11" spans="1:43" x14ac:dyDescent="0.35">
      <c r="A11" s="4">
        <v>210</v>
      </c>
      <c r="B11" s="4" t="s">
        <v>212</v>
      </c>
      <c r="C11" s="4" t="s">
        <v>213</v>
      </c>
      <c r="D11" s="4">
        <v>131</v>
      </c>
      <c r="G11">
        <v>123</v>
      </c>
      <c r="H11">
        <v>8</v>
      </c>
      <c r="N11">
        <v>5047</v>
      </c>
      <c r="O11" t="s">
        <v>394</v>
      </c>
      <c r="P11" t="s">
        <v>386</v>
      </c>
      <c r="S11">
        <v>12</v>
      </c>
      <c r="U11" s="19" t="s">
        <v>216</v>
      </c>
      <c r="V11" s="19" t="s">
        <v>217</v>
      </c>
      <c r="W11" s="20">
        <v>192</v>
      </c>
      <c r="Y11" s="19" t="s">
        <v>222</v>
      </c>
      <c r="Z11" s="19" t="s">
        <v>54</v>
      </c>
      <c r="AA11" s="20">
        <f>990-667</f>
        <v>323</v>
      </c>
      <c r="AC11" s="19" t="s">
        <v>174</v>
      </c>
      <c r="AD11" s="19" t="s">
        <v>18</v>
      </c>
      <c r="AE11" s="20">
        <v>1737</v>
      </c>
      <c r="AG11" s="19" t="s">
        <v>279</v>
      </c>
      <c r="AH11" s="19" t="s">
        <v>18</v>
      </c>
      <c r="AI11" s="20">
        <v>2337</v>
      </c>
      <c r="AK11" s="28" t="s">
        <v>379</v>
      </c>
      <c r="AL11" s="28" t="s">
        <v>25</v>
      </c>
      <c r="AM11" s="28">
        <v>1486</v>
      </c>
      <c r="AO11" s="19" t="s">
        <v>305</v>
      </c>
      <c r="AP11" s="19" t="s">
        <v>306</v>
      </c>
      <c r="AQ11" s="20">
        <f>538+144+5</f>
        <v>687</v>
      </c>
    </row>
    <row r="12" spans="1:43" x14ac:dyDescent="0.35">
      <c r="A12" s="17">
        <v>211</v>
      </c>
      <c r="B12" s="17" t="s">
        <v>214</v>
      </c>
      <c r="C12" s="17" t="s">
        <v>215</v>
      </c>
      <c r="D12" s="17">
        <v>66</v>
      </c>
      <c r="H12">
        <v>66</v>
      </c>
      <c r="N12">
        <v>5048</v>
      </c>
      <c r="O12" t="s">
        <v>395</v>
      </c>
      <c r="P12" t="s">
        <v>68</v>
      </c>
      <c r="S12">
        <v>149</v>
      </c>
      <c r="U12" s="19" t="s">
        <v>166</v>
      </c>
      <c r="V12" s="19" t="s">
        <v>167</v>
      </c>
      <c r="W12" s="20">
        <v>191</v>
      </c>
      <c r="Y12" s="19" t="s">
        <v>170</v>
      </c>
      <c r="Z12" s="19" t="s">
        <v>171</v>
      </c>
      <c r="AA12" s="20">
        <v>258</v>
      </c>
      <c r="AC12" s="19" t="s">
        <v>230</v>
      </c>
      <c r="AD12" s="19" t="s">
        <v>17</v>
      </c>
      <c r="AE12" s="20">
        <v>1555</v>
      </c>
      <c r="AG12" s="19" t="s">
        <v>273</v>
      </c>
      <c r="AH12" s="19" t="s">
        <v>17</v>
      </c>
      <c r="AI12" s="20">
        <v>2102</v>
      </c>
      <c r="AK12" s="28" t="s">
        <v>382</v>
      </c>
      <c r="AL12" s="28" t="s">
        <v>25</v>
      </c>
      <c r="AM12" s="28">
        <v>1412</v>
      </c>
      <c r="AO12" s="19" t="s">
        <v>316</v>
      </c>
      <c r="AP12" s="19" t="s">
        <v>141</v>
      </c>
      <c r="AQ12" s="20">
        <f>561+125</f>
        <v>686</v>
      </c>
    </row>
    <row r="13" spans="1:43" x14ac:dyDescent="0.35">
      <c r="A13" s="4">
        <v>212</v>
      </c>
      <c r="B13" s="4" t="s">
        <v>216</v>
      </c>
      <c r="C13" s="4" t="s">
        <v>217</v>
      </c>
      <c r="D13" s="4">
        <v>1035</v>
      </c>
      <c r="F13">
        <v>202</v>
      </c>
      <c r="G13">
        <v>192</v>
      </c>
      <c r="H13">
        <v>155</v>
      </c>
      <c r="I13">
        <v>266</v>
      </c>
      <c r="J13">
        <v>116</v>
      </c>
      <c r="K13">
        <v>83</v>
      </c>
      <c r="L13">
        <v>20</v>
      </c>
      <c r="N13">
        <v>5049</v>
      </c>
      <c r="O13" t="s">
        <v>352</v>
      </c>
      <c r="P13" t="s">
        <v>538</v>
      </c>
      <c r="Q13">
        <v>51</v>
      </c>
      <c r="S13">
        <v>234</v>
      </c>
      <c r="U13" s="19" t="s">
        <v>208</v>
      </c>
      <c r="V13" s="19" t="s">
        <v>45</v>
      </c>
      <c r="W13" s="20">
        <f>370-209</f>
        <v>161</v>
      </c>
      <c r="Y13" s="19" t="s">
        <v>234</v>
      </c>
      <c r="Z13" s="19" t="s">
        <v>71</v>
      </c>
      <c r="AA13" s="20">
        <v>244</v>
      </c>
      <c r="AC13" s="19" t="s">
        <v>247</v>
      </c>
      <c r="AD13" s="19" t="s">
        <v>248</v>
      </c>
      <c r="AE13" s="20">
        <v>1501</v>
      </c>
      <c r="AG13" s="19" t="s">
        <v>174</v>
      </c>
      <c r="AH13" s="19" t="s">
        <v>18</v>
      </c>
      <c r="AI13" s="20">
        <v>2018</v>
      </c>
      <c r="AK13" s="28" t="s">
        <v>381</v>
      </c>
      <c r="AL13" s="28" t="s">
        <v>122</v>
      </c>
      <c r="AM13" s="28">
        <v>1303</v>
      </c>
      <c r="AO13" s="19" t="s">
        <v>42</v>
      </c>
      <c r="AP13" s="19" t="s">
        <v>198</v>
      </c>
      <c r="AQ13" s="20">
        <f>364+181+137</f>
        <v>682</v>
      </c>
    </row>
    <row r="14" spans="1:43" x14ac:dyDescent="0.35">
      <c r="A14" s="4">
        <v>213</v>
      </c>
      <c r="B14" s="4" t="s">
        <v>218</v>
      </c>
      <c r="C14" s="4" t="s">
        <v>219</v>
      </c>
      <c r="D14" s="4">
        <v>360</v>
      </c>
      <c r="G14">
        <v>204</v>
      </c>
      <c r="H14">
        <v>71</v>
      </c>
      <c r="I14">
        <v>54</v>
      </c>
      <c r="J14">
        <v>27</v>
      </c>
      <c r="N14">
        <v>5053</v>
      </c>
      <c r="O14" t="s">
        <v>396</v>
      </c>
      <c r="P14" t="s">
        <v>539</v>
      </c>
      <c r="S14">
        <f>136+60</f>
        <v>196</v>
      </c>
      <c r="U14" s="20" t="s">
        <v>333</v>
      </c>
      <c r="V14" s="19" t="s">
        <v>47</v>
      </c>
      <c r="W14" s="20">
        <v>131</v>
      </c>
      <c r="Y14" s="19" t="s">
        <v>232</v>
      </c>
      <c r="Z14" s="19" t="s">
        <v>68</v>
      </c>
      <c r="AA14" s="20">
        <v>243</v>
      </c>
      <c r="AC14" s="19" t="s">
        <v>251</v>
      </c>
      <c r="AD14" s="19" t="s">
        <v>74</v>
      </c>
      <c r="AE14" s="20">
        <v>1397</v>
      </c>
      <c r="AG14" s="19" t="s">
        <v>278</v>
      </c>
      <c r="AH14" s="19" t="s">
        <v>327</v>
      </c>
      <c r="AI14" s="20">
        <v>1884</v>
      </c>
      <c r="AK14" s="19" t="s">
        <v>293</v>
      </c>
      <c r="AL14" s="19" t="s">
        <v>122</v>
      </c>
      <c r="AM14" s="20">
        <v>1224</v>
      </c>
      <c r="AO14" s="28" t="s">
        <v>384</v>
      </c>
      <c r="AP14" s="28" t="s">
        <v>388</v>
      </c>
      <c r="AQ14" s="28">
        <f>522+43+3</f>
        <v>568</v>
      </c>
    </row>
    <row r="15" spans="1:43" x14ac:dyDescent="0.35">
      <c r="A15" s="4">
        <v>214</v>
      </c>
      <c r="B15" s="4" t="s">
        <v>170</v>
      </c>
      <c r="C15" s="4" t="s">
        <v>171</v>
      </c>
      <c r="D15" s="4">
        <v>3199</v>
      </c>
      <c r="F15">
        <v>662</v>
      </c>
      <c r="G15">
        <v>1919</v>
      </c>
      <c r="H15">
        <v>258</v>
      </c>
      <c r="I15">
        <v>172</v>
      </c>
      <c r="J15">
        <v>107</v>
      </c>
      <c r="K15">
        <v>27</v>
      </c>
      <c r="N15">
        <v>5056</v>
      </c>
      <c r="O15" t="s">
        <v>397</v>
      </c>
      <c r="P15" t="s">
        <v>539</v>
      </c>
      <c r="S15">
        <v>172</v>
      </c>
      <c r="U15" s="20" t="s">
        <v>332</v>
      </c>
      <c r="V15" s="19" t="s">
        <v>47</v>
      </c>
      <c r="W15" s="25">
        <v>123</v>
      </c>
      <c r="Y15" s="19" t="s">
        <v>240</v>
      </c>
      <c r="Z15" s="19" t="s">
        <v>78</v>
      </c>
      <c r="AA15" s="20">
        <v>231</v>
      </c>
      <c r="AC15" s="19" t="s">
        <v>192</v>
      </c>
      <c r="AD15" s="19" t="s">
        <v>68</v>
      </c>
      <c r="AE15" s="20">
        <v>1023</v>
      </c>
      <c r="AG15" s="19" t="s">
        <v>40</v>
      </c>
      <c r="AH15" s="19" t="s">
        <v>412</v>
      </c>
      <c r="AI15" s="20">
        <v>1876</v>
      </c>
      <c r="AK15" s="19" t="s">
        <v>292</v>
      </c>
      <c r="AL15" s="19" t="s">
        <v>17</v>
      </c>
      <c r="AM15" s="20">
        <v>1008</v>
      </c>
      <c r="AO15" s="19" t="s">
        <v>302</v>
      </c>
      <c r="AP15" s="19" t="s">
        <v>25</v>
      </c>
      <c r="AQ15" s="20">
        <f>499+33+6</f>
        <v>538</v>
      </c>
    </row>
    <row r="16" spans="1:43" x14ac:dyDescent="0.35">
      <c r="A16" s="4">
        <v>215</v>
      </c>
      <c r="B16" s="4" t="s">
        <v>329</v>
      </c>
      <c r="C16" s="4" t="s">
        <v>220</v>
      </c>
      <c r="D16" s="4">
        <v>1292</v>
      </c>
      <c r="G16">
        <v>1050</v>
      </c>
      <c r="H16">
        <f>1199-1050</f>
        <v>149</v>
      </c>
      <c r="I16">
        <v>68</v>
      </c>
      <c r="J16">
        <v>32</v>
      </c>
      <c r="N16">
        <v>5059</v>
      </c>
      <c r="O16" t="s">
        <v>398</v>
      </c>
      <c r="P16" t="s">
        <v>386</v>
      </c>
      <c r="S16">
        <v>94</v>
      </c>
      <c r="U16" s="19" t="s">
        <v>212</v>
      </c>
      <c r="V16" s="19" t="s">
        <v>213</v>
      </c>
      <c r="W16" s="20">
        <v>123</v>
      </c>
      <c r="Y16" s="19" t="s">
        <v>242</v>
      </c>
      <c r="Z16" s="19" t="s">
        <v>243</v>
      </c>
      <c r="AA16" s="20">
        <v>225</v>
      </c>
      <c r="AC16" s="19" t="s">
        <v>37</v>
      </c>
      <c r="AD16" s="19" t="s">
        <v>38</v>
      </c>
      <c r="AE16" s="20">
        <v>1018</v>
      </c>
      <c r="AG16" s="19" t="s">
        <v>195</v>
      </c>
      <c r="AH16" s="19" t="s">
        <v>17</v>
      </c>
      <c r="AI16" s="20">
        <v>1208</v>
      </c>
      <c r="AK16" s="28" t="s">
        <v>384</v>
      </c>
      <c r="AL16" s="28" t="s">
        <v>388</v>
      </c>
      <c r="AM16" s="28">
        <v>908</v>
      </c>
      <c r="AO16" s="28" t="s">
        <v>419</v>
      </c>
      <c r="AP16" s="28" t="s">
        <v>18</v>
      </c>
      <c r="AQ16" s="28">
        <f>431+92</f>
        <v>523</v>
      </c>
    </row>
    <row r="17" spans="1:43" x14ac:dyDescent="0.35">
      <c r="A17" s="4">
        <v>216</v>
      </c>
      <c r="B17" s="4" t="s">
        <v>221</v>
      </c>
      <c r="C17" s="4" t="s">
        <v>58</v>
      </c>
      <c r="D17" s="4">
        <v>433</v>
      </c>
      <c r="G17">
        <v>218</v>
      </c>
      <c r="H17">
        <v>115</v>
      </c>
      <c r="I17">
        <v>63</v>
      </c>
      <c r="J17">
        <v>41</v>
      </c>
      <c r="N17">
        <v>5061</v>
      </c>
      <c r="O17" t="s">
        <v>360</v>
      </c>
      <c r="P17" t="s">
        <v>364</v>
      </c>
      <c r="Q17">
        <v>52</v>
      </c>
      <c r="S17">
        <v>100</v>
      </c>
      <c r="U17" s="19" t="s">
        <v>226</v>
      </c>
      <c r="V17" s="19" t="s">
        <v>227</v>
      </c>
      <c r="W17" s="20">
        <v>121</v>
      </c>
      <c r="Y17" s="19" t="s">
        <v>209</v>
      </c>
      <c r="Z17" s="19" t="s">
        <v>210</v>
      </c>
      <c r="AA17" s="20">
        <v>202</v>
      </c>
      <c r="AC17" s="19" t="s">
        <v>250</v>
      </c>
      <c r="AD17" s="19" t="s">
        <v>370</v>
      </c>
      <c r="AE17" s="20">
        <v>1015</v>
      </c>
      <c r="AG17" s="19" t="s">
        <v>285</v>
      </c>
      <c r="AH17" s="19" t="s">
        <v>286</v>
      </c>
      <c r="AI17" s="20">
        <v>1112</v>
      </c>
      <c r="AK17" s="19" t="s">
        <v>291</v>
      </c>
      <c r="AL17" s="19" t="s">
        <v>131</v>
      </c>
      <c r="AM17" s="20">
        <v>881</v>
      </c>
      <c r="AO17" s="19" t="s">
        <v>311</v>
      </c>
      <c r="AP17" s="19" t="s">
        <v>312</v>
      </c>
      <c r="AQ17" s="20">
        <f>375+75+5</f>
        <v>455</v>
      </c>
    </row>
    <row r="18" spans="1:43" x14ac:dyDescent="0.35">
      <c r="A18" s="4">
        <v>217</v>
      </c>
      <c r="B18" s="4" t="s">
        <v>222</v>
      </c>
      <c r="C18" s="4" t="s">
        <v>54</v>
      </c>
      <c r="D18" s="4">
        <v>1117</v>
      </c>
      <c r="G18">
        <v>667</v>
      </c>
      <c r="H18">
        <f>990-667</f>
        <v>323</v>
      </c>
      <c r="I18">
        <v>103</v>
      </c>
      <c r="J18">
        <v>29</v>
      </c>
      <c r="K18">
        <v>9</v>
      </c>
      <c r="N18">
        <v>5065</v>
      </c>
      <c r="O18" t="s">
        <v>399</v>
      </c>
      <c r="P18" t="s">
        <v>364</v>
      </c>
      <c r="S18">
        <v>8</v>
      </c>
      <c r="U18" s="4"/>
      <c r="V18" s="4"/>
      <c r="W18" s="2">
        <f>SUM(W2:W17)</f>
        <v>9756</v>
      </c>
      <c r="Y18" s="19" t="s">
        <v>233</v>
      </c>
      <c r="Z18" s="19" t="s">
        <v>45</v>
      </c>
      <c r="AA18" s="20">
        <v>202</v>
      </c>
      <c r="AC18" s="19" t="s">
        <v>253</v>
      </c>
      <c r="AD18" s="19" t="s">
        <v>54</v>
      </c>
      <c r="AE18" s="20">
        <v>913</v>
      </c>
      <c r="AG18" s="28" t="s">
        <v>377</v>
      </c>
      <c r="AH18" s="28" t="s">
        <v>25</v>
      </c>
      <c r="AI18" s="28">
        <v>1111</v>
      </c>
      <c r="AK18" s="19" t="s">
        <v>289</v>
      </c>
      <c r="AL18" s="19" t="s">
        <v>122</v>
      </c>
      <c r="AM18" s="20">
        <v>865</v>
      </c>
      <c r="AO18" s="28" t="s">
        <v>382</v>
      </c>
      <c r="AP18" s="28" t="s">
        <v>25</v>
      </c>
      <c r="AQ18" s="28">
        <f>381+45+3</f>
        <v>429</v>
      </c>
    </row>
    <row r="19" spans="1:43" x14ac:dyDescent="0.35">
      <c r="A19" s="4">
        <v>218</v>
      </c>
      <c r="B19" s="4" t="s">
        <v>223</v>
      </c>
      <c r="C19" s="4" t="s">
        <v>224</v>
      </c>
      <c r="D19" s="4">
        <v>135</v>
      </c>
      <c r="H19">
        <v>118</v>
      </c>
      <c r="I19">
        <v>17</v>
      </c>
      <c r="N19">
        <v>5068</v>
      </c>
      <c r="O19" t="s">
        <v>400</v>
      </c>
      <c r="P19" t="s">
        <v>540</v>
      </c>
      <c r="S19">
        <f>34+6+5</f>
        <v>45</v>
      </c>
      <c r="V19" s="17" t="s">
        <v>200</v>
      </c>
      <c r="W19" t="s">
        <v>362</v>
      </c>
      <c r="Y19" s="19" t="s">
        <v>162</v>
      </c>
      <c r="Z19" s="19" t="s">
        <v>17</v>
      </c>
      <c r="AA19" s="20">
        <v>196</v>
      </c>
      <c r="AC19" s="19" t="s">
        <v>42</v>
      </c>
      <c r="AD19" s="19" t="s">
        <v>412</v>
      </c>
      <c r="AE19" s="20">
        <v>890</v>
      </c>
      <c r="AG19" s="19" t="s">
        <v>271</v>
      </c>
      <c r="AH19" s="19" t="s">
        <v>81</v>
      </c>
      <c r="AI19" s="20">
        <v>1072</v>
      </c>
      <c r="AK19" s="19" t="s">
        <v>190</v>
      </c>
      <c r="AL19" s="19" t="s">
        <v>326</v>
      </c>
      <c r="AM19" s="20">
        <v>858</v>
      </c>
      <c r="AO19" s="19" t="s">
        <v>159</v>
      </c>
      <c r="AP19" s="19" t="s">
        <v>18</v>
      </c>
      <c r="AQ19" s="20">
        <f>337+24+8</f>
        <v>369</v>
      </c>
    </row>
    <row r="20" spans="1:43" x14ac:dyDescent="0.35">
      <c r="A20" s="4">
        <v>219</v>
      </c>
      <c r="B20" s="4" t="s">
        <v>225</v>
      </c>
      <c r="C20" s="4" t="s">
        <v>56</v>
      </c>
      <c r="D20" s="4">
        <v>1905</v>
      </c>
      <c r="H20">
        <v>752</v>
      </c>
      <c r="I20">
        <f>1234-752</f>
        <v>482</v>
      </c>
      <c r="J20">
        <v>476</v>
      </c>
      <c r="K20">
        <v>178</v>
      </c>
      <c r="N20">
        <v>5069</v>
      </c>
      <c r="O20" t="s">
        <v>401</v>
      </c>
      <c r="P20" t="s">
        <v>540</v>
      </c>
      <c r="S20">
        <v>15</v>
      </c>
      <c r="V20" s="17" t="s">
        <v>16</v>
      </c>
      <c r="W20">
        <f>2586+442+191</f>
        <v>3219</v>
      </c>
      <c r="Y20" s="19" t="s">
        <v>244</v>
      </c>
      <c r="Z20" s="19" t="s">
        <v>81</v>
      </c>
      <c r="AA20" s="20">
        <v>185</v>
      </c>
      <c r="AC20" s="19" t="s">
        <v>256</v>
      </c>
      <c r="AD20" s="19" t="s">
        <v>68</v>
      </c>
      <c r="AE20" s="20">
        <v>796</v>
      </c>
      <c r="AG20" s="19" t="s">
        <v>268</v>
      </c>
      <c r="AH20" s="19" t="s">
        <v>56</v>
      </c>
      <c r="AI20" s="20">
        <v>902</v>
      </c>
      <c r="AK20" s="19" t="s">
        <v>279</v>
      </c>
      <c r="AL20" s="19" t="s">
        <v>18</v>
      </c>
      <c r="AM20" s="20">
        <v>723</v>
      </c>
      <c r="AO20" s="19" t="s">
        <v>321</v>
      </c>
      <c r="AP20" s="19" t="s">
        <v>17</v>
      </c>
      <c r="AQ20" s="20">
        <v>367</v>
      </c>
    </row>
    <row r="21" spans="1:43" x14ac:dyDescent="0.35">
      <c r="A21" s="4">
        <v>220</v>
      </c>
      <c r="B21" s="4" t="s">
        <v>172</v>
      </c>
      <c r="C21" s="4" t="s">
        <v>173</v>
      </c>
      <c r="D21" s="4">
        <v>3387</v>
      </c>
      <c r="G21">
        <v>876</v>
      </c>
      <c r="H21">
        <v>1751</v>
      </c>
      <c r="I21">
        <v>663</v>
      </c>
      <c r="J21">
        <v>77</v>
      </c>
      <c r="K21">
        <v>20</v>
      </c>
      <c r="N21">
        <v>5070</v>
      </c>
      <c r="O21" t="s">
        <v>402</v>
      </c>
      <c r="P21" t="s">
        <v>386</v>
      </c>
      <c r="S21">
        <v>15</v>
      </c>
      <c r="V21" s="17" t="s">
        <v>178</v>
      </c>
      <c r="W21">
        <v>2586</v>
      </c>
      <c r="Y21" s="19" t="s">
        <v>241</v>
      </c>
      <c r="Z21" s="19" t="s">
        <v>78</v>
      </c>
      <c r="AA21" s="20">
        <v>185</v>
      </c>
      <c r="AC21" s="19" t="s">
        <v>172</v>
      </c>
      <c r="AD21" s="19" t="s">
        <v>173</v>
      </c>
      <c r="AE21" s="20">
        <v>663</v>
      </c>
      <c r="AG21" s="19" t="s">
        <v>281</v>
      </c>
      <c r="AH21" s="19" t="s">
        <v>17</v>
      </c>
      <c r="AI21" s="20">
        <v>842</v>
      </c>
      <c r="AK21" s="19" t="s">
        <v>281</v>
      </c>
      <c r="AL21" s="19" t="s">
        <v>17</v>
      </c>
      <c r="AM21" s="20">
        <v>662</v>
      </c>
      <c r="AO21" s="19" t="s">
        <v>319</v>
      </c>
      <c r="AP21" s="19" t="s">
        <v>320</v>
      </c>
      <c r="AQ21" s="20">
        <f>321+25</f>
        <v>346</v>
      </c>
    </row>
    <row r="22" spans="1:43" x14ac:dyDescent="0.35">
      <c r="A22" s="4">
        <v>221</v>
      </c>
      <c r="B22" s="4" t="s">
        <v>226</v>
      </c>
      <c r="C22" s="4" t="s">
        <v>227</v>
      </c>
      <c r="D22" s="4">
        <v>139</v>
      </c>
      <c r="G22">
        <v>121</v>
      </c>
      <c r="H22">
        <f>134-121</f>
        <v>13</v>
      </c>
      <c r="N22">
        <v>5071</v>
      </c>
      <c r="O22" t="s">
        <v>403</v>
      </c>
      <c r="P22" t="s">
        <v>386</v>
      </c>
      <c r="S22">
        <v>78</v>
      </c>
      <c r="V22" s="17" t="s">
        <v>54</v>
      </c>
      <c r="W22">
        <f>1919+667</f>
        <v>2586</v>
      </c>
      <c r="Y22" s="19" t="s">
        <v>228</v>
      </c>
      <c r="Z22" s="19" t="s">
        <v>229</v>
      </c>
      <c r="AA22" s="20">
        <v>179</v>
      </c>
      <c r="AC22" s="19" t="s">
        <v>189</v>
      </c>
      <c r="AD22" s="19" t="s">
        <v>74</v>
      </c>
      <c r="AE22" s="20">
        <v>661</v>
      </c>
      <c r="AG22" s="19" t="s">
        <v>265</v>
      </c>
      <c r="AH22" s="19" t="s">
        <v>21</v>
      </c>
      <c r="AI22" s="20">
        <v>837</v>
      </c>
      <c r="AK22" s="19" t="s">
        <v>36</v>
      </c>
      <c r="AL22" s="19" t="s">
        <v>325</v>
      </c>
      <c r="AM22" s="20">
        <v>601</v>
      </c>
      <c r="AO22" s="19" t="s">
        <v>307</v>
      </c>
      <c r="AP22" s="19" t="s">
        <v>308</v>
      </c>
      <c r="AQ22" s="20">
        <f>251+81+5</f>
        <v>337</v>
      </c>
    </row>
    <row r="23" spans="1:43" x14ac:dyDescent="0.35">
      <c r="A23" s="4">
        <v>222</v>
      </c>
      <c r="B23" s="4" t="s">
        <v>228</v>
      </c>
      <c r="C23" s="4" t="s">
        <v>229</v>
      </c>
      <c r="D23" s="4">
        <v>229</v>
      </c>
      <c r="H23">
        <v>179</v>
      </c>
      <c r="I23">
        <v>40</v>
      </c>
      <c r="N23">
        <v>5072</v>
      </c>
      <c r="O23" t="s">
        <v>404</v>
      </c>
      <c r="P23" t="s">
        <v>386</v>
      </c>
      <c r="S23">
        <v>3</v>
      </c>
      <c r="V23" s="17" t="s">
        <v>45</v>
      </c>
      <c r="W23">
        <v>1919</v>
      </c>
      <c r="Y23" s="19" t="s">
        <v>216</v>
      </c>
      <c r="Z23" s="19" t="s">
        <v>217</v>
      </c>
      <c r="AA23" s="20">
        <v>155</v>
      </c>
      <c r="AC23" s="19" t="s">
        <v>260</v>
      </c>
      <c r="AD23" s="19" t="s">
        <v>56</v>
      </c>
      <c r="AE23" s="20">
        <v>613</v>
      </c>
      <c r="AG23" s="19" t="s">
        <v>257</v>
      </c>
      <c r="AH23" s="19" t="s">
        <v>17</v>
      </c>
      <c r="AI23" s="20">
        <v>824</v>
      </c>
      <c r="AK23" s="19" t="s">
        <v>285</v>
      </c>
      <c r="AL23" s="19" t="s">
        <v>286</v>
      </c>
      <c r="AM23" s="20">
        <v>580</v>
      </c>
      <c r="AO23" s="19" t="s">
        <v>323</v>
      </c>
      <c r="AP23" s="19" t="s">
        <v>18</v>
      </c>
      <c r="AQ23" s="20">
        <v>333</v>
      </c>
    </row>
    <row r="24" spans="1:43" x14ac:dyDescent="0.35">
      <c r="A24" s="4">
        <v>223</v>
      </c>
      <c r="B24" s="4" t="s">
        <v>230</v>
      </c>
      <c r="C24" s="4" t="s">
        <v>17</v>
      </c>
      <c r="D24" s="4">
        <f>SUM(H24:L24)</f>
        <v>2785</v>
      </c>
      <c r="H24">
        <v>1010</v>
      </c>
      <c r="I24">
        <v>1555</v>
      </c>
      <c r="J24">
        <v>203</v>
      </c>
      <c r="K24">
        <v>17</v>
      </c>
      <c r="N24">
        <v>5076</v>
      </c>
      <c r="O24" t="s">
        <v>354</v>
      </c>
      <c r="P24" t="s">
        <v>364</v>
      </c>
      <c r="Q24">
        <v>52</v>
      </c>
      <c r="S24">
        <v>139</v>
      </c>
      <c r="V24" s="17" t="s">
        <v>47</v>
      </c>
      <c r="W24">
        <f>752+131+123+121</f>
        <v>1127</v>
      </c>
      <c r="Y24" s="19" t="s">
        <v>154</v>
      </c>
      <c r="Z24" s="19" t="s">
        <v>16</v>
      </c>
      <c r="AA24" s="20">
        <v>153</v>
      </c>
      <c r="AC24" s="19" t="s">
        <v>225</v>
      </c>
      <c r="AD24" s="19" t="s">
        <v>56</v>
      </c>
      <c r="AE24" s="20">
        <f>1234-752</f>
        <v>482</v>
      </c>
      <c r="AG24" s="19" t="s">
        <v>158</v>
      </c>
      <c r="AH24" s="19" t="s">
        <v>17</v>
      </c>
      <c r="AI24" s="20">
        <v>791</v>
      </c>
      <c r="AK24" s="19" t="s">
        <v>296</v>
      </c>
      <c r="AL24" s="19" t="s">
        <v>328</v>
      </c>
      <c r="AM24" s="20">
        <v>576</v>
      </c>
      <c r="AO24" s="19" t="s">
        <v>315</v>
      </c>
      <c r="AP24" s="19" t="s">
        <v>99</v>
      </c>
      <c r="AQ24" s="20">
        <v>312</v>
      </c>
    </row>
    <row r="25" spans="1:43" x14ac:dyDescent="0.35">
      <c r="A25" s="4">
        <v>224</v>
      </c>
      <c r="B25" s="4" t="s">
        <v>154</v>
      </c>
      <c r="C25" s="4" t="s">
        <v>16</v>
      </c>
      <c r="D25" s="4">
        <v>187</v>
      </c>
      <c r="H25">
        <v>153</v>
      </c>
      <c r="I25">
        <v>26</v>
      </c>
      <c r="J25">
        <v>8</v>
      </c>
      <c r="N25">
        <v>5077</v>
      </c>
      <c r="O25" t="s">
        <v>355</v>
      </c>
      <c r="P25" t="s">
        <v>541</v>
      </c>
      <c r="Q25">
        <v>52</v>
      </c>
      <c r="S25">
        <v>85</v>
      </c>
      <c r="V25" s="17" t="s">
        <v>18</v>
      </c>
      <c r="W25">
        <v>1127</v>
      </c>
      <c r="Y25" s="19" t="s">
        <v>329</v>
      </c>
      <c r="Z25" s="19" t="s">
        <v>220</v>
      </c>
      <c r="AA25" s="20">
        <f>1199-1050</f>
        <v>149</v>
      </c>
      <c r="AC25" s="19" t="s">
        <v>254</v>
      </c>
      <c r="AD25" s="19" t="s">
        <v>94</v>
      </c>
      <c r="AE25" s="20">
        <v>449</v>
      </c>
      <c r="AG25" s="19" t="s">
        <v>194</v>
      </c>
      <c r="AH25" s="19" t="s">
        <v>78</v>
      </c>
      <c r="AI25" s="20">
        <v>760</v>
      </c>
      <c r="AK25" s="19" t="s">
        <v>297</v>
      </c>
      <c r="AL25" s="19" t="s">
        <v>18</v>
      </c>
      <c r="AM25" s="20">
        <v>573</v>
      </c>
      <c r="AO25" s="19" t="s">
        <v>313</v>
      </c>
      <c r="AP25" s="19" t="s">
        <v>314</v>
      </c>
      <c r="AQ25" s="20">
        <f>196+69+20</f>
        <v>285</v>
      </c>
    </row>
    <row r="26" spans="1:43" x14ac:dyDescent="0.35">
      <c r="A26" s="4">
        <v>225</v>
      </c>
      <c r="B26" s="4" t="s">
        <v>231</v>
      </c>
      <c r="C26" s="4" t="s">
        <v>16</v>
      </c>
      <c r="D26" s="4">
        <v>1558</v>
      </c>
      <c r="H26">
        <v>1112</v>
      </c>
      <c r="I26">
        <v>421</v>
      </c>
      <c r="J26">
        <v>23</v>
      </c>
      <c r="K26">
        <v>2</v>
      </c>
      <c r="N26">
        <v>5079</v>
      </c>
      <c r="O26" t="s">
        <v>356</v>
      </c>
      <c r="P26" t="s">
        <v>78</v>
      </c>
      <c r="S26">
        <v>85</v>
      </c>
      <c r="V26" s="17" t="s">
        <v>361</v>
      </c>
      <c r="W26">
        <v>1050</v>
      </c>
      <c r="Y26" s="19" t="s">
        <v>235</v>
      </c>
      <c r="Z26" s="19" t="s">
        <v>45</v>
      </c>
      <c r="AA26" s="20">
        <v>145</v>
      </c>
      <c r="AC26" s="19" t="s">
        <v>231</v>
      </c>
      <c r="AD26" s="19" t="s">
        <v>16</v>
      </c>
      <c r="AE26" s="20">
        <v>421</v>
      </c>
      <c r="AG26" s="19" t="s">
        <v>263</v>
      </c>
      <c r="AH26" s="19" t="s">
        <v>68</v>
      </c>
      <c r="AI26" s="20">
        <v>623</v>
      </c>
      <c r="AK26" s="19" t="s">
        <v>156</v>
      </c>
      <c r="AL26" s="19" t="s">
        <v>197</v>
      </c>
      <c r="AM26" s="20">
        <v>551</v>
      </c>
      <c r="AO26" s="19" t="s">
        <v>292</v>
      </c>
      <c r="AP26" s="19" t="s">
        <v>17</v>
      </c>
      <c r="AQ26" s="20">
        <f>239+18+11</f>
        <v>268</v>
      </c>
    </row>
    <row r="27" spans="1:43" x14ac:dyDescent="0.35">
      <c r="A27" s="4">
        <v>226</v>
      </c>
      <c r="B27" s="4" t="s">
        <v>232</v>
      </c>
      <c r="C27" s="4" t="s">
        <v>68</v>
      </c>
      <c r="D27" s="4">
        <v>360</v>
      </c>
      <c r="H27">
        <v>243</v>
      </c>
      <c r="I27">
        <v>92</v>
      </c>
      <c r="J27">
        <v>24</v>
      </c>
      <c r="N27">
        <v>5082</v>
      </c>
      <c r="O27" t="s">
        <v>405</v>
      </c>
      <c r="P27" t="s">
        <v>368</v>
      </c>
      <c r="S27">
        <v>23</v>
      </c>
      <c r="V27" s="17" t="s">
        <v>17</v>
      </c>
      <c r="W27">
        <v>876</v>
      </c>
      <c r="Y27" s="19" t="s">
        <v>223</v>
      </c>
      <c r="Z27" s="19" t="s">
        <v>224</v>
      </c>
      <c r="AA27" s="20">
        <v>118</v>
      </c>
      <c r="AC27" s="19" t="s">
        <v>246</v>
      </c>
      <c r="AD27" s="19" t="s">
        <v>74</v>
      </c>
      <c r="AE27" s="20">
        <v>390</v>
      </c>
      <c r="AG27" s="19" t="s">
        <v>162</v>
      </c>
      <c r="AH27" s="19" t="s">
        <v>17</v>
      </c>
      <c r="AI27" s="20">
        <v>600</v>
      </c>
      <c r="AK27" s="26" t="s">
        <v>374</v>
      </c>
      <c r="AL27" s="26" t="s">
        <v>385</v>
      </c>
      <c r="AM27" s="26">
        <v>471</v>
      </c>
      <c r="AO27" s="19" t="s">
        <v>322</v>
      </c>
      <c r="AP27" s="19" t="s">
        <v>141</v>
      </c>
      <c r="AQ27" s="20">
        <f>145+120</f>
        <v>265</v>
      </c>
    </row>
    <row r="28" spans="1:43" x14ac:dyDescent="0.35">
      <c r="A28" s="4">
        <v>227</v>
      </c>
      <c r="B28" s="4" t="s">
        <v>233</v>
      </c>
      <c r="C28" s="4" t="s">
        <v>45</v>
      </c>
      <c r="D28" s="4">
        <v>365</v>
      </c>
      <c r="H28">
        <v>202</v>
      </c>
      <c r="I28">
        <v>137</v>
      </c>
      <c r="J28">
        <v>26</v>
      </c>
      <c r="N28">
        <v>5085</v>
      </c>
      <c r="O28" t="s">
        <v>357</v>
      </c>
      <c r="P28" t="s">
        <v>16</v>
      </c>
      <c r="Q28" s="1">
        <v>19450</v>
      </c>
      <c r="S28">
        <v>11</v>
      </c>
      <c r="Y28" s="19" t="s">
        <v>245</v>
      </c>
      <c r="Z28" s="19" t="s">
        <v>367</v>
      </c>
      <c r="AA28" s="20">
        <v>115</v>
      </c>
      <c r="AC28" s="19" t="s">
        <v>259</v>
      </c>
      <c r="AD28" s="19" t="s">
        <v>56</v>
      </c>
      <c r="AE28" s="20">
        <v>350</v>
      </c>
      <c r="AG28" s="19" t="s">
        <v>157</v>
      </c>
      <c r="AH28" s="19" t="s">
        <v>196</v>
      </c>
      <c r="AI28" s="20">
        <v>551</v>
      </c>
      <c r="AK28" s="19" t="s">
        <v>298</v>
      </c>
      <c r="AL28" s="19" t="s">
        <v>22</v>
      </c>
      <c r="AM28" s="20">
        <v>442</v>
      </c>
      <c r="AO28" s="19" t="s">
        <v>297</v>
      </c>
      <c r="AP28" s="19" t="s">
        <v>18</v>
      </c>
      <c r="AQ28" s="20">
        <f>240+10</f>
        <v>250</v>
      </c>
    </row>
    <row r="29" spans="1:43" x14ac:dyDescent="0.35">
      <c r="A29" s="4">
        <v>228</v>
      </c>
      <c r="B29" s="4" t="s">
        <v>234</v>
      </c>
      <c r="C29" s="4" t="s">
        <v>71</v>
      </c>
      <c r="D29" s="4">
        <v>291</v>
      </c>
      <c r="H29">
        <v>244</v>
      </c>
      <c r="I29">
        <v>43</v>
      </c>
      <c r="J29">
        <v>4</v>
      </c>
      <c r="N29">
        <v>5086</v>
      </c>
      <c r="O29" t="s">
        <v>406</v>
      </c>
      <c r="P29" t="s">
        <v>542</v>
      </c>
      <c r="S29">
        <v>8</v>
      </c>
      <c r="Y29" s="19" t="s">
        <v>221</v>
      </c>
      <c r="Z29" s="19" t="s">
        <v>58</v>
      </c>
      <c r="AA29" s="20">
        <v>115</v>
      </c>
      <c r="AC29" s="19" t="s">
        <v>242</v>
      </c>
      <c r="AD29" s="19" t="s">
        <v>243</v>
      </c>
      <c r="AE29" s="20">
        <v>327</v>
      </c>
      <c r="AG29" s="19" t="s">
        <v>247</v>
      </c>
      <c r="AH29" s="19" t="s">
        <v>248</v>
      </c>
      <c r="AI29" s="20">
        <v>522</v>
      </c>
      <c r="AK29" s="26" t="s">
        <v>380</v>
      </c>
      <c r="AL29" s="26" t="s">
        <v>68</v>
      </c>
      <c r="AM29" s="26">
        <v>403</v>
      </c>
      <c r="AO29" s="28" t="s">
        <v>374</v>
      </c>
      <c r="AP29" s="28" t="s">
        <v>385</v>
      </c>
      <c r="AQ29" s="28">
        <f>223+10+3</f>
        <v>236</v>
      </c>
    </row>
    <row r="30" spans="1:43" x14ac:dyDescent="0.35">
      <c r="A30" s="4">
        <v>229</v>
      </c>
      <c r="B30" s="4" t="s">
        <v>157</v>
      </c>
      <c r="C30" s="4" t="s">
        <v>196</v>
      </c>
      <c r="D30" s="4">
        <v>15216</v>
      </c>
      <c r="H30">
        <v>6135</v>
      </c>
      <c r="I30">
        <f>15006-6135</f>
        <v>8871</v>
      </c>
      <c r="J30">
        <v>551</v>
      </c>
      <c r="K30">
        <v>27</v>
      </c>
      <c r="L30">
        <v>5</v>
      </c>
      <c r="N30">
        <v>5087</v>
      </c>
      <c r="O30" t="s">
        <v>407</v>
      </c>
      <c r="P30" t="s">
        <v>99</v>
      </c>
      <c r="S30">
        <v>49</v>
      </c>
      <c r="Y30" s="19" t="s">
        <v>236</v>
      </c>
      <c r="Z30" s="19" t="s">
        <v>54</v>
      </c>
      <c r="AA30" s="20">
        <v>113</v>
      </c>
      <c r="AC30" s="19" t="s">
        <v>258</v>
      </c>
      <c r="AD30" s="19" t="s">
        <v>99</v>
      </c>
      <c r="AE30" s="20">
        <v>319</v>
      </c>
      <c r="AG30" s="19" t="s">
        <v>37</v>
      </c>
      <c r="AH30" s="19" t="s">
        <v>38</v>
      </c>
      <c r="AI30" s="20">
        <v>508</v>
      </c>
      <c r="AK30" s="19" t="s">
        <v>302</v>
      </c>
      <c r="AL30" s="19" t="s">
        <v>25</v>
      </c>
      <c r="AM30" s="20">
        <v>386</v>
      </c>
      <c r="AO30" s="19" t="s">
        <v>36</v>
      </c>
      <c r="AP30" s="19" t="s">
        <v>325</v>
      </c>
      <c r="AQ30" s="20">
        <f>135+55+38</f>
        <v>228</v>
      </c>
    </row>
    <row r="31" spans="1:43" x14ac:dyDescent="0.35">
      <c r="A31" s="4">
        <v>230</v>
      </c>
      <c r="B31" s="4" t="s">
        <v>235</v>
      </c>
      <c r="C31" s="4" t="s">
        <v>45</v>
      </c>
      <c r="D31" s="4">
        <v>317</v>
      </c>
      <c r="H31">
        <v>145</v>
      </c>
      <c r="I31">
        <v>89</v>
      </c>
      <c r="J31">
        <v>49</v>
      </c>
      <c r="K31">
        <v>29</v>
      </c>
      <c r="L31">
        <v>5</v>
      </c>
      <c r="N31">
        <v>5088</v>
      </c>
      <c r="O31" t="s">
        <v>408</v>
      </c>
      <c r="P31" t="s">
        <v>99</v>
      </c>
      <c r="S31">
        <v>82</v>
      </c>
      <c r="Y31" s="19" t="s">
        <v>246</v>
      </c>
      <c r="Z31" s="19" t="s">
        <v>74</v>
      </c>
      <c r="AA31" s="20">
        <v>110</v>
      </c>
      <c r="AC31" s="19" t="s">
        <v>39</v>
      </c>
      <c r="AD31" s="19" t="s">
        <v>17</v>
      </c>
      <c r="AE31" s="20">
        <v>298</v>
      </c>
      <c r="AG31" s="19" t="s">
        <v>225</v>
      </c>
      <c r="AH31" s="19" t="s">
        <v>56</v>
      </c>
      <c r="AI31" s="20">
        <v>476</v>
      </c>
      <c r="AK31" s="19" t="s">
        <v>299</v>
      </c>
      <c r="AL31" s="19" t="s">
        <v>25</v>
      </c>
      <c r="AM31" s="20">
        <v>381</v>
      </c>
      <c r="AO31" s="19" t="s">
        <v>283</v>
      </c>
      <c r="AP31" s="19" t="s">
        <v>21</v>
      </c>
      <c r="AQ31" s="20">
        <f>28+180</f>
        <v>208</v>
      </c>
    </row>
    <row r="32" spans="1:43" x14ac:dyDescent="0.35">
      <c r="A32" s="4">
        <v>231</v>
      </c>
      <c r="B32" s="4" t="s">
        <v>236</v>
      </c>
      <c r="C32" s="4" t="s">
        <v>54</v>
      </c>
      <c r="D32" s="4">
        <v>182</v>
      </c>
      <c r="H32">
        <v>113</v>
      </c>
      <c r="I32">
        <v>48</v>
      </c>
      <c r="J32">
        <v>21</v>
      </c>
      <c r="N32">
        <v>5091</v>
      </c>
      <c r="O32" t="s">
        <v>409</v>
      </c>
      <c r="P32" t="s">
        <v>368</v>
      </c>
      <c r="S32">
        <v>23</v>
      </c>
      <c r="Y32" s="19" t="s">
        <v>168</v>
      </c>
      <c r="Z32" s="19" t="s">
        <v>169</v>
      </c>
      <c r="AA32" s="20">
        <v>99</v>
      </c>
      <c r="AC32" s="19" t="s">
        <v>244</v>
      </c>
      <c r="AD32" s="19" t="s">
        <v>81</v>
      </c>
      <c r="AE32" s="20">
        <v>278</v>
      </c>
      <c r="AG32" s="19" t="s">
        <v>251</v>
      </c>
      <c r="AH32" s="19" t="s">
        <v>74</v>
      </c>
      <c r="AI32" s="20">
        <v>432</v>
      </c>
      <c r="AK32" s="26" t="s">
        <v>383</v>
      </c>
      <c r="AL32" s="26" t="s">
        <v>122</v>
      </c>
      <c r="AM32" s="26">
        <v>375</v>
      </c>
      <c r="AO32" s="19" t="s">
        <v>298</v>
      </c>
      <c r="AP32" s="19" t="s">
        <v>22</v>
      </c>
      <c r="AQ32" s="20">
        <f>190+3+8</f>
        <v>201</v>
      </c>
    </row>
    <row r="33" spans="1:43" x14ac:dyDescent="0.35">
      <c r="A33" s="17">
        <v>231</v>
      </c>
      <c r="B33" s="17" t="s">
        <v>237</v>
      </c>
      <c r="C33" s="17" t="s">
        <v>238</v>
      </c>
      <c r="D33" s="4"/>
      <c r="N33">
        <v>5096</v>
      </c>
      <c r="O33" t="s">
        <v>358</v>
      </c>
      <c r="P33" t="s">
        <v>389</v>
      </c>
      <c r="Q33" s="1">
        <v>19666</v>
      </c>
      <c r="S33">
        <v>198</v>
      </c>
      <c r="Y33" s="19" t="s">
        <v>218</v>
      </c>
      <c r="Z33" s="19" t="s">
        <v>219</v>
      </c>
      <c r="AA33" s="20">
        <v>71</v>
      </c>
      <c r="AC33" s="19" t="s">
        <v>216</v>
      </c>
      <c r="AD33" s="19" t="s">
        <v>217</v>
      </c>
      <c r="AE33" s="20">
        <v>266</v>
      </c>
      <c r="AG33" s="19" t="s">
        <v>254</v>
      </c>
      <c r="AH33" s="19" t="s">
        <v>94</v>
      </c>
      <c r="AI33" s="20">
        <v>419</v>
      </c>
      <c r="AK33" s="19" t="s">
        <v>175</v>
      </c>
      <c r="AL33" s="19" t="s">
        <v>17</v>
      </c>
      <c r="AM33" s="20">
        <v>356</v>
      </c>
      <c r="AO33" s="28" t="s">
        <v>420</v>
      </c>
      <c r="AP33" s="28" t="s">
        <v>122</v>
      </c>
      <c r="AQ33" s="28">
        <f>126+71</f>
        <v>197</v>
      </c>
    </row>
    <row r="34" spans="1:43" x14ac:dyDescent="0.35">
      <c r="A34" s="4">
        <v>232</v>
      </c>
      <c r="B34" s="4" t="s">
        <v>189</v>
      </c>
      <c r="C34" s="4" t="s">
        <v>74</v>
      </c>
      <c r="D34" s="4">
        <v>1348</v>
      </c>
      <c r="H34">
        <v>553</v>
      </c>
      <c r="I34">
        <v>661</v>
      </c>
      <c r="J34">
        <v>113</v>
      </c>
      <c r="K34">
        <v>21</v>
      </c>
      <c r="N34">
        <v>5100</v>
      </c>
      <c r="O34" t="s">
        <v>410</v>
      </c>
      <c r="P34" t="s">
        <v>501</v>
      </c>
      <c r="S34">
        <v>8</v>
      </c>
      <c r="Y34" s="19" t="s">
        <v>214</v>
      </c>
      <c r="Z34" s="19" t="s">
        <v>215</v>
      </c>
      <c r="AA34" s="20">
        <v>66</v>
      </c>
      <c r="AC34" s="19" t="s">
        <v>264</v>
      </c>
      <c r="AD34" s="19" t="s">
        <v>99</v>
      </c>
      <c r="AE34" s="20">
        <v>265</v>
      </c>
      <c r="AG34" s="19" t="s">
        <v>272</v>
      </c>
      <c r="AH34" s="19" t="s">
        <v>78</v>
      </c>
      <c r="AI34" s="20">
        <v>404</v>
      </c>
      <c r="AK34" s="19" t="s">
        <v>283</v>
      </c>
      <c r="AL34" s="19" t="s">
        <v>21</v>
      </c>
      <c r="AM34" s="20">
        <v>351</v>
      </c>
      <c r="AO34" s="19" t="s">
        <v>161</v>
      </c>
      <c r="AP34" s="19" t="s">
        <v>294</v>
      </c>
      <c r="AQ34" s="20">
        <f>172+16+5</f>
        <v>193</v>
      </c>
    </row>
    <row r="35" spans="1:43" x14ac:dyDescent="0.35">
      <c r="A35" s="4">
        <v>233</v>
      </c>
      <c r="B35" s="4" t="s">
        <v>239</v>
      </c>
      <c r="C35" s="4" t="s">
        <v>76</v>
      </c>
      <c r="D35" s="4">
        <v>149</v>
      </c>
      <c r="H35">
        <v>64</v>
      </c>
      <c r="I35">
        <v>68</v>
      </c>
      <c r="J35">
        <v>17</v>
      </c>
      <c r="N35">
        <v>5102</v>
      </c>
      <c r="O35" t="s">
        <v>411</v>
      </c>
      <c r="P35" t="s">
        <v>68</v>
      </c>
      <c r="S35">
        <v>60</v>
      </c>
      <c r="Y35" s="19" t="s">
        <v>239</v>
      </c>
      <c r="Z35" s="19" t="s">
        <v>76</v>
      </c>
      <c r="AA35" s="20">
        <v>64</v>
      </c>
      <c r="AC35" s="19" t="s">
        <v>265</v>
      </c>
      <c r="AD35" s="19" t="s">
        <v>21</v>
      </c>
      <c r="AE35" s="20">
        <v>233</v>
      </c>
      <c r="AG35" s="19" t="s">
        <v>260</v>
      </c>
      <c r="AH35" s="19" t="s">
        <v>56</v>
      </c>
      <c r="AI35" s="20">
        <v>398</v>
      </c>
      <c r="AK35" s="19" t="s">
        <v>300</v>
      </c>
      <c r="AL35" s="19" t="s">
        <v>301</v>
      </c>
      <c r="AM35" s="20">
        <v>340</v>
      </c>
      <c r="AO35" s="19" t="s">
        <v>276</v>
      </c>
      <c r="AP35" s="19" t="s">
        <v>99</v>
      </c>
      <c r="AQ35" s="20">
        <f>74+29+66</f>
        <v>169</v>
      </c>
    </row>
    <row r="36" spans="1:43" x14ac:dyDescent="0.35">
      <c r="A36" s="4">
        <v>234</v>
      </c>
      <c r="B36" s="4" t="s">
        <v>39</v>
      </c>
      <c r="C36" s="4" t="s">
        <v>17</v>
      </c>
      <c r="D36" s="4">
        <v>799</v>
      </c>
      <c r="H36">
        <v>483</v>
      </c>
      <c r="I36">
        <v>298</v>
      </c>
      <c r="J36">
        <f>781-620</f>
        <v>161</v>
      </c>
      <c r="K36">
        <v>18</v>
      </c>
      <c r="Y36" s="19" t="s">
        <v>166</v>
      </c>
      <c r="Z36" s="19" t="s">
        <v>167</v>
      </c>
      <c r="AA36" s="20">
        <v>43</v>
      </c>
      <c r="AC36" s="19" t="s">
        <v>193</v>
      </c>
      <c r="AD36" s="19" t="s">
        <v>74</v>
      </c>
      <c r="AE36" s="20">
        <v>223</v>
      </c>
      <c r="AG36" s="19" t="s">
        <v>192</v>
      </c>
      <c r="AH36" s="19" t="s">
        <v>68</v>
      </c>
      <c r="AI36" s="20">
        <v>386</v>
      </c>
      <c r="AK36" s="19" t="s">
        <v>295</v>
      </c>
      <c r="AL36" s="19" t="s">
        <v>68</v>
      </c>
      <c r="AM36" s="20">
        <v>332</v>
      </c>
      <c r="AO36" s="28" t="s">
        <v>381</v>
      </c>
      <c r="AP36" s="28" t="s">
        <v>122</v>
      </c>
      <c r="AQ36" s="28">
        <f>115+15+15</f>
        <v>145</v>
      </c>
    </row>
    <row r="37" spans="1:43" x14ac:dyDescent="0.35">
      <c r="A37" s="4">
        <v>235</v>
      </c>
      <c r="B37" s="4" t="s">
        <v>240</v>
      </c>
      <c r="C37" s="4" t="s">
        <v>78</v>
      </c>
      <c r="D37" s="4">
        <v>653</v>
      </c>
      <c r="H37">
        <v>231</v>
      </c>
      <c r="I37">
        <v>119</v>
      </c>
      <c r="J37">
        <f>42+77+48</f>
        <v>167</v>
      </c>
      <c r="K37">
        <v>84</v>
      </c>
      <c r="L37">
        <f>17+31+4</f>
        <v>52</v>
      </c>
      <c r="Y37" s="19" t="s">
        <v>203</v>
      </c>
      <c r="Z37" s="19" t="s">
        <v>204</v>
      </c>
      <c r="AA37" s="20">
        <v>43</v>
      </c>
      <c r="AC37" s="19" t="s">
        <v>262</v>
      </c>
      <c r="AD37" s="19" t="s">
        <v>103</v>
      </c>
      <c r="AE37" s="20">
        <v>196</v>
      </c>
      <c r="AG37" s="19" t="s">
        <v>264</v>
      </c>
      <c r="AH37" s="19" t="s">
        <v>99</v>
      </c>
      <c r="AI37" s="20">
        <v>352</v>
      </c>
      <c r="AK37" s="26" t="s">
        <v>373</v>
      </c>
      <c r="AL37" s="26" t="s">
        <v>68</v>
      </c>
      <c r="AM37" s="26">
        <v>258</v>
      </c>
      <c r="AO37" s="19" t="s">
        <v>277</v>
      </c>
      <c r="AP37" s="19" t="s">
        <v>99</v>
      </c>
      <c r="AQ37" s="20">
        <f>67+24+45</f>
        <v>136</v>
      </c>
    </row>
    <row r="38" spans="1:43" x14ac:dyDescent="0.35">
      <c r="A38" s="4">
        <v>236</v>
      </c>
      <c r="B38" s="4" t="s">
        <v>241</v>
      </c>
      <c r="C38" s="4" t="s">
        <v>78</v>
      </c>
      <c r="D38" s="4">
        <v>325</v>
      </c>
      <c r="H38">
        <v>185</v>
      </c>
      <c r="I38">
        <f>294-185</f>
        <v>109</v>
      </c>
      <c r="J38">
        <v>35</v>
      </c>
      <c r="K38">
        <v>9</v>
      </c>
      <c r="Y38" s="19" t="s">
        <v>324</v>
      </c>
      <c r="Z38" s="19" t="s">
        <v>16</v>
      </c>
      <c r="AA38" s="20">
        <v>30</v>
      </c>
      <c r="AC38" s="19" t="s">
        <v>255</v>
      </c>
      <c r="AD38" s="19" t="s">
        <v>94</v>
      </c>
      <c r="AE38" s="20">
        <v>187</v>
      </c>
      <c r="AG38" s="19" t="s">
        <v>283</v>
      </c>
      <c r="AH38" s="19" t="s">
        <v>21</v>
      </c>
      <c r="AI38" s="20">
        <v>347</v>
      </c>
      <c r="AK38" s="19" t="s">
        <v>288</v>
      </c>
      <c r="AL38" s="19" t="s">
        <v>21</v>
      </c>
      <c r="AM38" s="20">
        <v>256</v>
      </c>
      <c r="AO38" s="19" t="s">
        <v>247</v>
      </c>
      <c r="AP38" s="19" t="s">
        <v>248</v>
      </c>
      <c r="AQ38" s="20">
        <f>65+49+21</f>
        <v>135</v>
      </c>
    </row>
    <row r="39" spans="1:43" x14ac:dyDescent="0.35">
      <c r="A39" s="4">
        <v>237</v>
      </c>
      <c r="B39" s="4" t="s">
        <v>242</v>
      </c>
      <c r="C39" s="4" t="s">
        <v>243</v>
      </c>
      <c r="D39" s="4">
        <v>605</v>
      </c>
      <c r="H39">
        <v>225</v>
      </c>
      <c r="I39">
        <v>327</v>
      </c>
      <c r="J39">
        <v>53</v>
      </c>
      <c r="Y39" s="19" t="s">
        <v>208</v>
      </c>
      <c r="Z39" s="19" t="s">
        <v>45</v>
      </c>
      <c r="AA39" s="20">
        <f>391-370</f>
        <v>21</v>
      </c>
      <c r="AC39" s="19" t="s">
        <v>170</v>
      </c>
      <c r="AD39" s="19" t="s">
        <v>171</v>
      </c>
      <c r="AE39" s="20">
        <v>172</v>
      </c>
      <c r="AG39" s="19" t="s">
        <v>269</v>
      </c>
      <c r="AH39" s="19" t="s">
        <v>68</v>
      </c>
      <c r="AI39" s="20">
        <v>338</v>
      </c>
      <c r="AK39" s="19" t="s">
        <v>40</v>
      </c>
      <c r="AL39" s="19" t="s">
        <v>198</v>
      </c>
      <c r="AM39" s="20">
        <v>248</v>
      </c>
      <c r="AO39" s="28" t="s">
        <v>372</v>
      </c>
      <c r="AP39" s="28" t="s">
        <v>18</v>
      </c>
      <c r="AQ39" s="28">
        <f>110+3+9</f>
        <v>122</v>
      </c>
    </row>
    <row r="40" spans="1:43" x14ac:dyDescent="0.35">
      <c r="A40" s="4">
        <v>238</v>
      </c>
      <c r="B40" s="4" t="s">
        <v>36</v>
      </c>
      <c r="C40" s="4" t="s">
        <v>325</v>
      </c>
      <c r="D40" s="4">
        <v>34620</v>
      </c>
      <c r="H40">
        <v>7083</v>
      </c>
      <c r="I40">
        <f>31626-7083</f>
        <v>24543</v>
      </c>
      <c r="J40">
        <v>2362</v>
      </c>
      <c r="K40">
        <v>601</v>
      </c>
      <c r="L40">
        <f>135+55+38</f>
        <v>228</v>
      </c>
      <c r="Y40" s="20" t="s">
        <v>333</v>
      </c>
      <c r="Z40" s="19" t="s">
        <v>47</v>
      </c>
      <c r="AA40" s="20">
        <f>147-131</f>
        <v>16</v>
      </c>
      <c r="AC40" s="19" t="s">
        <v>164</v>
      </c>
      <c r="AD40" s="19" t="s">
        <v>165</v>
      </c>
      <c r="AE40" s="20">
        <v>150</v>
      </c>
      <c r="AG40" s="19" t="s">
        <v>275</v>
      </c>
      <c r="AH40" s="19" t="s">
        <v>116</v>
      </c>
      <c r="AI40" s="20">
        <v>338</v>
      </c>
      <c r="AK40" s="19" t="s">
        <v>277</v>
      </c>
      <c r="AL40" s="19" t="s">
        <v>99</v>
      </c>
      <c r="AM40" s="20">
        <v>237</v>
      </c>
      <c r="AO40" s="19" t="s">
        <v>285</v>
      </c>
      <c r="AP40" s="19" t="s">
        <v>286</v>
      </c>
      <c r="AQ40" s="20">
        <f>101</f>
        <v>101</v>
      </c>
    </row>
    <row r="41" spans="1:43" x14ac:dyDescent="0.35">
      <c r="A41" s="4">
        <v>239</v>
      </c>
      <c r="B41" s="4" t="s">
        <v>244</v>
      </c>
      <c r="C41" s="4" t="s">
        <v>81</v>
      </c>
      <c r="D41" s="4">
        <v>651</v>
      </c>
      <c r="H41">
        <v>185</v>
      </c>
      <c r="I41">
        <v>278</v>
      </c>
      <c r="J41">
        <v>122</v>
      </c>
      <c r="K41">
        <v>41</v>
      </c>
      <c r="L41">
        <f>12+13</f>
        <v>25</v>
      </c>
      <c r="Y41" s="19" t="s">
        <v>226</v>
      </c>
      <c r="Z41" s="19" t="s">
        <v>227</v>
      </c>
      <c r="AA41" s="20">
        <f>134-121</f>
        <v>13</v>
      </c>
      <c r="AC41" s="19" t="s">
        <v>233</v>
      </c>
      <c r="AD41" s="19" t="s">
        <v>45</v>
      </c>
      <c r="AE41" s="20">
        <v>137</v>
      </c>
      <c r="AG41" s="19" t="s">
        <v>267</v>
      </c>
      <c r="AH41" s="19" t="s">
        <v>99</v>
      </c>
      <c r="AI41" s="20">
        <v>337</v>
      </c>
      <c r="AK41" s="19" t="s">
        <v>280</v>
      </c>
      <c r="AL41" s="19" t="s">
        <v>99</v>
      </c>
      <c r="AM41" s="20">
        <v>198</v>
      </c>
      <c r="AO41" s="19" t="s">
        <v>299</v>
      </c>
      <c r="AP41" s="19" t="s">
        <v>25</v>
      </c>
      <c r="AQ41" s="20">
        <f>95+5</f>
        <v>100</v>
      </c>
    </row>
    <row r="42" spans="1:43" x14ac:dyDescent="0.35">
      <c r="A42" s="4">
        <v>240</v>
      </c>
      <c r="B42" s="4" t="s">
        <v>245</v>
      </c>
      <c r="C42" s="4" t="s">
        <v>84</v>
      </c>
      <c r="D42" s="4">
        <v>288</v>
      </c>
      <c r="H42">
        <v>115</v>
      </c>
      <c r="I42">
        <v>131</v>
      </c>
      <c r="J42">
        <v>28</v>
      </c>
      <c r="K42">
        <v>10</v>
      </c>
      <c r="L42">
        <v>4</v>
      </c>
      <c r="Y42" s="19" t="s">
        <v>212</v>
      </c>
      <c r="Z42" s="19" t="s">
        <v>213</v>
      </c>
      <c r="AA42" s="20">
        <v>8</v>
      </c>
      <c r="AC42" s="19" t="s">
        <v>245</v>
      </c>
      <c r="AD42" s="19" t="s">
        <v>367</v>
      </c>
      <c r="AE42" s="20">
        <v>131</v>
      </c>
      <c r="AG42" s="19" t="s">
        <v>250</v>
      </c>
      <c r="AH42" s="19" t="s">
        <v>249</v>
      </c>
      <c r="AI42" s="20">
        <v>330</v>
      </c>
      <c r="AK42" s="19" t="s">
        <v>254</v>
      </c>
      <c r="AL42" s="19" t="s">
        <v>94</v>
      </c>
      <c r="AM42" s="20">
        <v>196</v>
      </c>
      <c r="AO42" s="19" t="s">
        <v>291</v>
      </c>
      <c r="AP42" s="19" t="s">
        <v>131</v>
      </c>
      <c r="AQ42" s="20">
        <f>91+5</f>
        <v>96</v>
      </c>
    </row>
    <row r="43" spans="1:43" x14ac:dyDescent="0.35">
      <c r="A43" s="4">
        <v>241</v>
      </c>
      <c r="B43" s="4" t="s">
        <v>246</v>
      </c>
      <c r="C43" s="4" t="s">
        <v>74</v>
      </c>
      <c r="D43" s="4">
        <v>688</v>
      </c>
      <c r="H43">
        <v>110</v>
      </c>
      <c r="I43">
        <v>390</v>
      </c>
      <c r="J43">
        <v>128</v>
      </c>
      <c r="K43">
        <v>27</v>
      </c>
      <c r="L43">
        <v>13</v>
      </c>
      <c r="Y43" s="20" t="s">
        <v>332</v>
      </c>
      <c r="Z43" s="19" t="s">
        <v>47</v>
      </c>
      <c r="AA43" s="20">
        <f>127-123</f>
        <v>4</v>
      </c>
      <c r="AC43" s="19" t="s">
        <v>240</v>
      </c>
      <c r="AD43" s="19" t="s">
        <v>78</v>
      </c>
      <c r="AE43" s="20">
        <v>119</v>
      </c>
      <c r="AG43" s="19" t="s">
        <v>276</v>
      </c>
      <c r="AH43" s="19" t="s">
        <v>99</v>
      </c>
      <c r="AI43" s="20">
        <v>303</v>
      </c>
      <c r="AK43" s="19" t="s">
        <v>163</v>
      </c>
      <c r="AL43" s="19" t="s">
        <v>18</v>
      </c>
      <c r="AM43" s="20">
        <v>184</v>
      </c>
      <c r="AO43" s="28" t="s">
        <v>418</v>
      </c>
      <c r="AP43" s="28" t="s">
        <v>25</v>
      </c>
      <c r="AQ43" s="28">
        <f>80+5+7</f>
        <v>92</v>
      </c>
    </row>
    <row r="44" spans="1:43" x14ac:dyDescent="0.35">
      <c r="A44" s="4">
        <v>242</v>
      </c>
      <c r="B44" s="4" t="s">
        <v>162</v>
      </c>
      <c r="C44" s="4" t="s">
        <v>17</v>
      </c>
      <c r="D44" s="4">
        <v>4103</v>
      </c>
      <c r="H44">
        <v>196</v>
      </c>
      <c r="I44">
        <v>3122</v>
      </c>
      <c r="J44">
        <v>600</v>
      </c>
      <c r="K44">
        <v>153</v>
      </c>
      <c r="L44">
        <f>16+14+2</f>
        <v>32</v>
      </c>
      <c r="Y44" s="17"/>
      <c r="Z44" s="17"/>
      <c r="AA44" s="24">
        <f>SUM(AA2:AA43)</f>
        <v>24188</v>
      </c>
      <c r="AC44" s="19" t="s">
        <v>324</v>
      </c>
      <c r="AD44" s="19" t="s">
        <v>16</v>
      </c>
      <c r="AE44" s="20">
        <v>116</v>
      </c>
      <c r="AG44" s="19" t="s">
        <v>282</v>
      </c>
      <c r="AH44" s="19" t="s">
        <v>68</v>
      </c>
      <c r="AI44" s="20">
        <v>300</v>
      </c>
      <c r="AK44" s="19" t="s">
        <v>225</v>
      </c>
      <c r="AL44" s="19" t="s">
        <v>56</v>
      </c>
      <c r="AM44" s="20">
        <v>178</v>
      </c>
      <c r="AO44" s="28" t="s">
        <v>383</v>
      </c>
      <c r="AP44" s="28" t="s">
        <v>122</v>
      </c>
      <c r="AQ44" s="28">
        <f>86+3</f>
        <v>89</v>
      </c>
    </row>
    <row r="45" spans="1:43" x14ac:dyDescent="0.35">
      <c r="A45" s="4">
        <v>243</v>
      </c>
      <c r="B45" s="4" t="s">
        <v>247</v>
      </c>
      <c r="C45" s="4" t="s">
        <v>248</v>
      </c>
      <c r="D45" s="4">
        <v>2377</v>
      </c>
      <c r="I45">
        <v>1501</v>
      </c>
      <c r="J45">
        <v>522</v>
      </c>
      <c r="K45">
        <v>128</v>
      </c>
      <c r="L45">
        <f>65+49+21</f>
        <v>135</v>
      </c>
      <c r="M45" s="23">
        <v>3</v>
      </c>
      <c r="Z45" s="17" t="s">
        <v>180</v>
      </c>
      <c r="AA45" t="s">
        <v>201</v>
      </c>
      <c r="AC45" s="19" t="s">
        <v>261</v>
      </c>
      <c r="AD45" s="19" t="s">
        <v>103</v>
      </c>
      <c r="AE45" s="20">
        <v>114</v>
      </c>
      <c r="AG45" s="19" t="s">
        <v>274</v>
      </c>
      <c r="AH45" s="19" t="s">
        <v>116</v>
      </c>
      <c r="AI45" s="20">
        <v>300</v>
      </c>
      <c r="AK45" s="26" t="s">
        <v>376</v>
      </c>
      <c r="AL45" s="26" t="s">
        <v>386</v>
      </c>
      <c r="AM45" s="26">
        <v>169</v>
      </c>
      <c r="AO45" s="19" t="s">
        <v>293</v>
      </c>
      <c r="AP45" s="19" t="s">
        <v>122</v>
      </c>
      <c r="AQ45" s="20">
        <f>78+10</f>
        <v>88</v>
      </c>
    </row>
    <row r="46" spans="1:43" x14ac:dyDescent="0.35">
      <c r="A46" s="4">
        <v>244</v>
      </c>
      <c r="B46" s="4" t="s">
        <v>250</v>
      </c>
      <c r="C46" s="4" t="s">
        <v>249</v>
      </c>
      <c r="D46" s="4">
        <v>1528</v>
      </c>
      <c r="I46">
        <v>1015</v>
      </c>
      <c r="J46">
        <v>330</v>
      </c>
      <c r="K46">
        <v>132</v>
      </c>
      <c r="L46">
        <f>34+16</f>
        <v>50</v>
      </c>
      <c r="M46" s="23">
        <v>3</v>
      </c>
      <c r="Z46" s="17" t="s">
        <v>17</v>
      </c>
      <c r="AA46">
        <f>225+1751+7083+6135+196+483+1010</f>
        <v>16883</v>
      </c>
      <c r="AC46" s="19" t="s">
        <v>241</v>
      </c>
      <c r="AD46" s="19" t="s">
        <v>78</v>
      </c>
      <c r="AE46" s="20">
        <f>294-185</f>
        <v>109</v>
      </c>
      <c r="AG46" s="19" t="s">
        <v>284</v>
      </c>
      <c r="AH46" s="19" t="s">
        <v>68</v>
      </c>
      <c r="AI46" s="20">
        <v>288</v>
      </c>
      <c r="AK46" s="19" t="s">
        <v>252</v>
      </c>
      <c r="AL46" s="19" t="s">
        <v>18</v>
      </c>
      <c r="AM46" s="20">
        <v>158</v>
      </c>
      <c r="AO46" s="19" t="s">
        <v>156</v>
      </c>
      <c r="AP46" s="19" t="s">
        <v>413</v>
      </c>
      <c r="AQ46" s="20">
        <f>50+22+12</f>
        <v>84</v>
      </c>
    </row>
    <row r="47" spans="1:43" x14ac:dyDescent="0.35">
      <c r="A47" s="4">
        <v>245</v>
      </c>
      <c r="B47" s="4" t="s">
        <v>251</v>
      </c>
      <c r="C47" s="4" t="s">
        <v>90</v>
      </c>
      <c r="D47" s="4">
        <v>1870</v>
      </c>
      <c r="I47">
        <v>1397</v>
      </c>
      <c r="J47">
        <v>432</v>
      </c>
      <c r="K47">
        <v>50</v>
      </c>
      <c r="L47">
        <v>6</v>
      </c>
      <c r="Z47" s="17" t="s">
        <v>16</v>
      </c>
      <c r="AA47">
        <f>43+985+43+30+153+1112+99</f>
        <v>2465</v>
      </c>
      <c r="AC47" s="19" t="s">
        <v>222</v>
      </c>
      <c r="AD47" s="19" t="s">
        <v>54</v>
      </c>
      <c r="AE47" s="20">
        <v>103</v>
      </c>
      <c r="AG47" s="19" t="s">
        <v>287</v>
      </c>
      <c r="AH47" s="19" t="s">
        <v>68</v>
      </c>
      <c r="AI47" s="20">
        <v>257</v>
      </c>
      <c r="AK47" s="19" t="s">
        <v>264</v>
      </c>
      <c r="AL47" s="19" t="s">
        <v>99</v>
      </c>
      <c r="AM47" s="20">
        <v>157</v>
      </c>
      <c r="AO47" s="19" t="s">
        <v>254</v>
      </c>
      <c r="AP47" s="19" t="s">
        <v>94</v>
      </c>
      <c r="AQ47" s="20">
        <f>47+9+20</f>
        <v>76</v>
      </c>
    </row>
    <row r="48" spans="1:43" x14ac:dyDescent="0.35">
      <c r="A48" s="4">
        <v>246</v>
      </c>
      <c r="B48" s="4" t="s">
        <v>40</v>
      </c>
      <c r="C48" s="4" t="s">
        <v>198</v>
      </c>
      <c r="D48" s="4">
        <v>9202</v>
      </c>
      <c r="I48">
        <v>7197</v>
      </c>
      <c r="J48">
        <v>1876</v>
      </c>
      <c r="K48">
        <v>248</v>
      </c>
      <c r="L48">
        <f>14+8+4</f>
        <v>26</v>
      </c>
      <c r="Z48" s="17" t="s">
        <v>365</v>
      </c>
      <c r="AA48">
        <v>1751</v>
      </c>
      <c r="AC48" s="19" t="s">
        <v>232</v>
      </c>
      <c r="AD48" s="19" t="s">
        <v>68</v>
      </c>
      <c r="AE48" s="20">
        <v>92</v>
      </c>
      <c r="AG48" s="19" t="s">
        <v>280</v>
      </c>
      <c r="AH48" s="19" t="s">
        <v>99</v>
      </c>
      <c r="AI48" s="20">
        <v>215</v>
      </c>
      <c r="AK48" s="19" t="s">
        <v>162</v>
      </c>
      <c r="AL48" s="19" t="s">
        <v>17</v>
      </c>
      <c r="AM48" s="20">
        <v>153</v>
      </c>
      <c r="AO48" s="19" t="s">
        <v>176</v>
      </c>
      <c r="AP48" s="19" t="s">
        <v>18</v>
      </c>
      <c r="AQ48" s="20">
        <f>56+12+6</f>
        <v>74</v>
      </c>
    </row>
    <row r="49" spans="1:43" x14ac:dyDescent="0.35">
      <c r="A49" s="4">
        <v>247</v>
      </c>
      <c r="B49" s="4" t="s">
        <v>252</v>
      </c>
      <c r="C49" s="4" t="s">
        <v>18</v>
      </c>
      <c r="D49" s="4">
        <v>28333</v>
      </c>
      <c r="I49">
        <v>25280</v>
      </c>
      <c r="J49">
        <v>2853</v>
      </c>
      <c r="K49">
        <v>158</v>
      </c>
      <c r="L49">
        <f>23+16+3</f>
        <v>42</v>
      </c>
      <c r="Z49" s="17" t="s">
        <v>178</v>
      </c>
      <c r="AA49">
        <v>983</v>
      </c>
      <c r="AC49" s="19" t="s">
        <v>235</v>
      </c>
      <c r="AD49" s="19" t="s">
        <v>45</v>
      </c>
      <c r="AE49" s="20">
        <v>89</v>
      </c>
      <c r="AG49" s="19" t="s">
        <v>266</v>
      </c>
      <c r="AH49" s="19" t="s">
        <v>99</v>
      </c>
      <c r="AI49" s="20">
        <v>205</v>
      </c>
      <c r="AK49" s="19" t="s">
        <v>287</v>
      </c>
      <c r="AL49" s="19" t="s">
        <v>68</v>
      </c>
      <c r="AM49" s="20">
        <v>152</v>
      </c>
      <c r="AO49" s="19" t="s">
        <v>280</v>
      </c>
      <c r="AP49" s="19" t="s">
        <v>99</v>
      </c>
      <c r="AQ49" s="20">
        <f>25+18+26</f>
        <v>69</v>
      </c>
    </row>
    <row r="50" spans="1:43" x14ac:dyDescent="0.35">
      <c r="A50" s="4">
        <v>248</v>
      </c>
      <c r="B50" s="4" t="s">
        <v>158</v>
      </c>
      <c r="C50" s="4" t="s">
        <v>17</v>
      </c>
      <c r="D50" s="4">
        <v>6539</v>
      </c>
      <c r="I50">
        <v>5698</v>
      </c>
      <c r="J50">
        <v>791</v>
      </c>
      <c r="K50">
        <v>47</v>
      </c>
      <c r="L50">
        <v>12</v>
      </c>
      <c r="Z50" s="17" t="s">
        <v>56</v>
      </c>
      <c r="AA50">
        <f>752+149</f>
        <v>901</v>
      </c>
      <c r="AC50" s="19" t="s">
        <v>329</v>
      </c>
      <c r="AD50" s="19" t="s">
        <v>220</v>
      </c>
      <c r="AE50" s="20">
        <v>68</v>
      </c>
      <c r="AG50" s="19" t="s">
        <v>230</v>
      </c>
      <c r="AH50" s="19" t="s">
        <v>17</v>
      </c>
      <c r="AI50" s="20">
        <v>203</v>
      </c>
      <c r="AK50" s="19" t="s">
        <v>278</v>
      </c>
      <c r="AL50" s="19" t="s">
        <v>327</v>
      </c>
      <c r="AM50" s="20">
        <v>151</v>
      </c>
      <c r="AO50" s="19" t="s">
        <v>300</v>
      </c>
      <c r="AP50" s="19" t="s">
        <v>301</v>
      </c>
      <c r="AQ50" s="20">
        <f>56+10</f>
        <v>66</v>
      </c>
    </row>
    <row r="51" spans="1:43" x14ac:dyDescent="0.35">
      <c r="A51" s="4">
        <v>249</v>
      </c>
      <c r="B51" s="4" t="s">
        <v>193</v>
      </c>
      <c r="C51" s="4" t="s">
        <v>74</v>
      </c>
      <c r="D51" s="4">
        <v>242</v>
      </c>
      <c r="I51">
        <v>223</v>
      </c>
      <c r="J51">
        <v>38</v>
      </c>
      <c r="K51">
        <v>10</v>
      </c>
      <c r="Z51" s="17" t="s">
        <v>45</v>
      </c>
      <c r="AA51">
        <f>202+145+21+225+258</f>
        <v>851</v>
      </c>
      <c r="AC51" s="19" t="s">
        <v>239</v>
      </c>
      <c r="AD51" s="19" t="s">
        <v>76</v>
      </c>
      <c r="AE51" s="20">
        <v>68</v>
      </c>
      <c r="AG51" s="19" t="s">
        <v>277</v>
      </c>
      <c r="AH51" s="19" t="s">
        <v>99</v>
      </c>
      <c r="AI51" s="20">
        <v>187</v>
      </c>
      <c r="AK51" s="19" t="s">
        <v>276</v>
      </c>
      <c r="AL51" s="19" t="s">
        <v>99</v>
      </c>
      <c r="AM51" s="20">
        <v>145</v>
      </c>
      <c r="AO51" s="28" t="s">
        <v>373</v>
      </c>
      <c r="AP51" s="28" t="s">
        <v>68</v>
      </c>
      <c r="AQ51" s="28">
        <f>39+17+8</f>
        <v>64</v>
      </c>
    </row>
    <row r="52" spans="1:43" x14ac:dyDescent="0.35">
      <c r="A52" s="4">
        <v>250</v>
      </c>
      <c r="B52" s="4" t="s">
        <v>253</v>
      </c>
      <c r="C52" s="4" t="s">
        <v>54</v>
      </c>
      <c r="D52" s="4">
        <v>1008</v>
      </c>
      <c r="I52">
        <v>913</v>
      </c>
      <c r="J52">
        <v>88</v>
      </c>
      <c r="K52">
        <v>5</v>
      </c>
      <c r="Z52" s="17" t="s">
        <v>74</v>
      </c>
      <c r="AA52">
        <f>553+110</f>
        <v>663</v>
      </c>
      <c r="AC52" s="19" t="s">
        <v>168</v>
      </c>
      <c r="AD52" s="19" t="s">
        <v>169</v>
      </c>
      <c r="AE52" s="20">
        <v>65</v>
      </c>
      <c r="AG52" s="19" t="s">
        <v>259</v>
      </c>
      <c r="AH52" s="19" t="s">
        <v>56</v>
      </c>
      <c r="AI52" s="20">
        <v>174</v>
      </c>
      <c r="AK52" s="19" t="s">
        <v>250</v>
      </c>
      <c r="AL52" s="19" t="s">
        <v>370</v>
      </c>
      <c r="AM52" s="20">
        <v>132</v>
      </c>
      <c r="AO52" s="19" t="s">
        <v>264</v>
      </c>
      <c r="AP52" s="19" t="s">
        <v>99</v>
      </c>
      <c r="AQ52" s="20">
        <f>29+21+9</f>
        <v>59</v>
      </c>
    </row>
    <row r="53" spans="1:43" x14ac:dyDescent="0.35">
      <c r="A53" s="4">
        <v>251</v>
      </c>
      <c r="B53" s="4" t="s">
        <v>254</v>
      </c>
      <c r="C53" s="4" t="s">
        <v>94</v>
      </c>
      <c r="D53" s="4">
        <v>1130</v>
      </c>
      <c r="I53">
        <v>449</v>
      </c>
      <c r="J53">
        <v>419</v>
      </c>
      <c r="K53">
        <v>196</v>
      </c>
      <c r="L53">
        <f>47+9+20</f>
        <v>76</v>
      </c>
      <c r="Z53" s="17" t="s">
        <v>369</v>
      </c>
      <c r="AA53">
        <f>179+8+244+155</f>
        <v>586</v>
      </c>
      <c r="AC53" s="19" t="s">
        <v>221</v>
      </c>
      <c r="AD53" s="19" t="s">
        <v>58</v>
      </c>
      <c r="AE53" s="20">
        <v>63</v>
      </c>
      <c r="AG53" s="19" t="s">
        <v>240</v>
      </c>
      <c r="AH53" s="19" t="s">
        <v>78</v>
      </c>
      <c r="AI53" s="20">
        <f>42+77+48</f>
        <v>167</v>
      </c>
      <c r="AK53" s="19" t="s">
        <v>41</v>
      </c>
      <c r="AL53" s="19" t="s">
        <v>198</v>
      </c>
      <c r="AM53" s="20">
        <v>132</v>
      </c>
      <c r="AO53" s="19" t="s">
        <v>240</v>
      </c>
      <c r="AP53" s="19" t="s">
        <v>78</v>
      </c>
      <c r="AQ53" s="20">
        <f>17+31+4</f>
        <v>52</v>
      </c>
    </row>
    <row r="54" spans="1:43" x14ac:dyDescent="0.35">
      <c r="A54" s="4">
        <v>252</v>
      </c>
      <c r="B54" s="4" t="s">
        <v>255</v>
      </c>
      <c r="C54" s="4" t="s">
        <v>94</v>
      </c>
      <c r="D54" s="4">
        <v>599</v>
      </c>
      <c r="I54">
        <v>187</v>
      </c>
      <c r="J54">
        <v>145</v>
      </c>
      <c r="K54">
        <v>53</v>
      </c>
      <c r="L54">
        <f>11+3+11</f>
        <v>25</v>
      </c>
      <c r="Z54" s="17" t="s">
        <v>54</v>
      </c>
      <c r="AA54">
        <f>323+113</f>
        <v>436</v>
      </c>
      <c r="AC54" s="19" t="s">
        <v>209</v>
      </c>
      <c r="AD54" s="19" t="s">
        <v>210</v>
      </c>
      <c r="AE54" s="20">
        <v>62</v>
      </c>
      <c r="AG54" s="19" t="s">
        <v>39</v>
      </c>
      <c r="AH54" s="19" t="s">
        <v>17</v>
      </c>
      <c r="AI54" s="20">
        <f>781-620</f>
        <v>161</v>
      </c>
      <c r="AK54" s="26" t="s">
        <v>375</v>
      </c>
      <c r="AL54" s="26" t="s">
        <v>364</v>
      </c>
      <c r="AM54" s="26">
        <v>132</v>
      </c>
      <c r="AO54" s="19" t="s">
        <v>250</v>
      </c>
      <c r="AP54" s="19" t="s">
        <v>370</v>
      </c>
      <c r="AQ54" s="20">
        <f>34+16</f>
        <v>50</v>
      </c>
    </row>
    <row r="55" spans="1:43" x14ac:dyDescent="0.35">
      <c r="A55" s="4">
        <v>253</v>
      </c>
      <c r="B55" s="4" t="s">
        <v>192</v>
      </c>
      <c r="C55" s="4" t="s">
        <v>68</v>
      </c>
      <c r="D55" s="4">
        <v>1377</v>
      </c>
      <c r="I55">
        <v>1023</v>
      </c>
      <c r="J55">
        <v>386</v>
      </c>
      <c r="K55">
        <v>15</v>
      </c>
      <c r="Z55" s="17" t="s">
        <v>78</v>
      </c>
      <c r="AA55">
        <f>231+185</f>
        <v>416</v>
      </c>
      <c r="AC55" s="19" t="s">
        <v>218</v>
      </c>
      <c r="AD55" s="19" t="s">
        <v>219</v>
      </c>
      <c r="AE55" s="20">
        <v>54</v>
      </c>
      <c r="AG55" s="19" t="s">
        <v>288</v>
      </c>
      <c r="AH55" s="19" t="s">
        <v>21</v>
      </c>
      <c r="AI55" s="20">
        <v>153</v>
      </c>
      <c r="AK55" s="19" t="s">
        <v>247</v>
      </c>
      <c r="AL55" s="19" t="s">
        <v>248</v>
      </c>
      <c r="AM55" s="20">
        <v>128</v>
      </c>
      <c r="AO55" s="19" t="s">
        <v>252</v>
      </c>
      <c r="AP55" s="19" t="s">
        <v>18</v>
      </c>
      <c r="AQ55" s="20">
        <f>23+16+3</f>
        <v>42</v>
      </c>
    </row>
    <row r="56" spans="1:43" x14ac:dyDescent="0.35">
      <c r="A56" s="4">
        <v>254</v>
      </c>
      <c r="B56" s="4" t="s">
        <v>256</v>
      </c>
      <c r="C56" s="4" t="s">
        <v>68</v>
      </c>
      <c r="D56" s="4">
        <v>830</v>
      </c>
      <c r="I56">
        <v>796</v>
      </c>
      <c r="J56">
        <v>84</v>
      </c>
      <c r="Z56" s="17" t="s">
        <v>58</v>
      </c>
      <c r="AA56">
        <f>179+224</f>
        <v>403</v>
      </c>
      <c r="AC56" s="19" t="s">
        <v>236</v>
      </c>
      <c r="AD56" s="19" t="s">
        <v>54</v>
      </c>
      <c r="AE56" s="20">
        <v>48</v>
      </c>
      <c r="AG56" s="19" t="s">
        <v>255</v>
      </c>
      <c r="AH56" s="19" t="s">
        <v>94</v>
      </c>
      <c r="AI56" s="20">
        <v>145</v>
      </c>
      <c r="AK56" s="19" t="s">
        <v>270</v>
      </c>
      <c r="AL56" s="19" t="s">
        <v>17</v>
      </c>
      <c r="AM56" s="20">
        <v>100</v>
      </c>
      <c r="AO56" s="28" t="s">
        <v>376</v>
      </c>
      <c r="AP56" s="28" t="s">
        <v>386</v>
      </c>
      <c r="AQ56" s="28">
        <f>34+5+2</f>
        <v>41</v>
      </c>
    </row>
    <row r="57" spans="1:43" x14ac:dyDescent="0.35">
      <c r="A57" s="4">
        <v>255</v>
      </c>
      <c r="B57" s="4" t="s">
        <v>257</v>
      </c>
      <c r="C57" s="4" t="s">
        <v>17</v>
      </c>
      <c r="D57" s="4">
        <f>SUM(I57:K57)</f>
        <v>2617</v>
      </c>
      <c r="I57">
        <v>1756</v>
      </c>
      <c r="J57">
        <v>824</v>
      </c>
      <c r="K57">
        <v>37</v>
      </c>
      <c r="Z57" s="17" t="s">
        <v>51</v>
      </c>
      <c r="AA57">
        <f>43+202+155</f>
        <v>400</v>
      </c>
      <c r="AC57" s="19" t="s">
        <v>234</v>
      </c>
      <c r="AD57" s="19" t="s">
        <v>71</v>
      </c>
      <c r="AE57" s="20">
        <v>43</v>
      </c>
      <c r="AG57" s="19" t="s">
        <v>246</v>
      </c>
      <c r="AH57" s="19" t="s">
        <v>74</v>
      </c>
      <c r="AI57" s="20">
        <v>128</v>
      </c>
      <c r="AK57" s="19" t="s">
        <v>195</v>
      </c>
      <c r="AL57" s="19" t="s">
        <v>17</v>
      </c>
      <c r="AM57" s="20">
        <v>100</v>
      </c>
      <c r="AO57" s="19" t="s">
        <v>290</v>
      </c>
      <c r="AP57" s="19" t="s">
        <v>116</v>
      </c>
      <c r="AQ57" s="20">
        <f>32+6</f>
        <v>38</v>
      </c>
    </row>
    <row r="58" spans="1:43" x14ac:dyDescent="0.35">
      <c r="A58" s="4">
        <v>256</v>
      </c>
      <c r="B58" s="4" t="s">
        <v>41</v>
      </c>
      <c r="C58" s="4" t="s">
        <v>198</v>
      </c>
      <c r="D58" s="4">
        <v>24746</v>
      </c>
      <c r="I58">
        <v>16570</v>
      </c>
      <c r="J58">
        <v>8011</v>
      </c>
      <c r="K58">
        <v>132</v>
      </c>
      <c r="L58">
        <v>33</v>
      </c>
      <c r="Z58" s="17" t="s">
        <v>68</v>
      </c>
      <c r="AA58">
        <v>243</v>
      </c>
      <c r="AC58" s="19" t="s">
        <v>228</v>
      </c>
      <c r="AD58" s="19" t="s">
        <v>229</v>
      </c>
      <c r="AE58" s="20">
        <v>40</v>
      </c>
      <c r="AG58" s="19" t="s">
        <v>244</v>
      </c>
      <c r="AH58" s="19" t="s">
        <v>81</v>
      </c>
      <c r="AI58" s="20">
        <v>122</v>
      </c>
      <c r="AK58" s="19" t="s">
        <v>268</v>
      </c>
      <c r="AL58" s="19" t="s">
        <v>56</v>
      </c>
      <c r="AM58" s="20">
        <v>93</v>
      </c>
      <c r="AO58" s="19" t="s">
        <v>281</v>
      </c>
      <c r="AP58" s="19" t="s">
        <v>17</v>
      </c>
      <c r="AQ58" s="20">
        <f>32+4+2</f>
        <v>38</v>
      </c>
    </row>
    <row r="59" spans="1:43" x14ac:dyDescent="0.35">
      <c r="A59" s="4">
        <v>257</v>
      </c>
      <c r="B59" s="4" t="s">
        <v>37</v>
      </c>
      <c r="C59" s="4" t="s">
        <v>38</v>
      </c>
      <c r="D59" s="4">
        <v>1554</v>
      </c>
      <c r="I59">
        <v>1018</v>
      </c>
      <c r="J59">
        <v>508</v>
      </c>
      <c r="K59">
        <v>24</v>
      </c>
      <c r="L59">
        <v>5</v>
      </c>
      <c r="Z59" s="17" t="s">
        <v>47</v>
      </c>
      <c r="AA59">
        <f>16+4+202+13</f>
        <v>235</v>
      </c>
      <c r="AC59" s="19" t="s">
        <v>203</v>
      </c>
      <c r="AD59" s="19" t="s">
        <v>204</v>
      </c>
      <c r="AE59" s="20">
        <v>39</v>
      </c>
      <c r="AG59" s="19" t="s">
        <v>216</v>
      </c>
      <c r="AH59" s="19" t="s">
        <v>217</v>
      </c>
      <c r="AI59" s="20">
        <v>116</v>
      </c>
      <c r="AK59" s="19" t="s">
        <v>194</v>
      </c>
      <c r="AL59" s="19" t="s">
        <v>78</v>
      </c>
      <c r="AM59" s="20">
        <v>87</v>
      </c>
      <c r="AO59" s="28" t="s">
        <v>379</v>
      </c>
      <c r="AP59" s="28" t="s">
        <v>25</v>
      </c>
      <c r="AQ59" s="28">
        <f>30+3+3</f>
        <v>36</v>
      </c>
    </row>
    <row r="60" spans="1:43" x14ac:dyDescent="0.35">
      <c r="A60" s="4">
        <v>258</v>
      </c>
      <c r="B60" s="4" t="s">
        <v>156</v>
      </c>
      <c r="C60" s="4" t="s">
        <v>197</v>
      </c>
      <c r="D60" s="4">
        <v>16407</v>
      </c>
      <c r="I60">
        <v>1952</v>
      </c>
      <c r="J60">
        <v>13870</v>
      </c>
      <c r="K60">
        <v>551</v>
      </c>
      <c r="L60">
        <f>50+22+12</f>
        <v>84</v>
      </c>
      <c r="Z60" s="17" t="s">
        <v>81</v>
      </c>
      <c r="AA60">
        <f>185</f>
        <v>185</v>
      </c>
      <c r="AC60" s="19" t="s">
        <v>208</v>
      </c>
      <c r="AD60" s="19" t="s">
        <v>45</v>
      </c>
      <c r="AE60" s="20">
        <v>32</v>
      </c>
      <c r="AG60" s="19" t="s">
        <v>189</v>
      </c>
      <c r="AH60" s="19" t="s">
        <v>74</v>
      </c>
      <c r="AI60" s="20">
        <v>113</v>
      </c>
      <c r="AK60" s="19" t="s">
        <v>240</v>
      </c>
      <c r="AL60" s="19" t="s">
        <v>78</v>
      </c>
      <c r="AM60" s="20">
        <v>84</v>
      </c>
      <c r="AO60" s="19" t="s">
        <v>279</v>
      </c>
      <c r="AP60" s="19" t="s">
        <v>18</v>
      </c>
      <c r="AQ60" s="20">
        <f>20+9+6</f>
        <v>35</v>
      </c>
    </row>
    <row r="61" spans="1:43" x14ac:dyDescent="0.35">
      <c r="A61" s="4">
        <v>259</v>
      </c>
      <c r="B61" s="4" t="s">
        <v>258</v>
      </c>
      <c r="C61" s="4" t="s">
        <v>99</v>
      </c>
      <c r="D61" s="4">
        <v>395</v>
      </c>
      <c r="I61">
        <v>319</v>
      </c>
      <c r="J61">
        <v>44</v>
      </c>
      <c r="K61">
        <v>22</v>
      </c>
      <c r="L61">
        <v>10</v>
      </c>
      <c r="Z61" s="17" t="s">
        <v>61</v>
      </c>
      <c r="AA61">
        <f>66+118</f>
        <v>184</v>
      </c>
      <c r="AC61" s="19" t="s">
        <v>154</v>
      </c>
      <c r="AD61" s="19" t="s">
        <v>16</v>
      </c>
      <c r="AE61" s="20">
        <v>26</v>
      </c>
      <c r="AG61" s="19" t="s">
        <v>170</v>
      </c>
      <c r="AH61" s="19" t="s">
        <v>171</v>
      </c>
      <c r="AI61" s="20">
        <v>107</v>
      </c>
      <c r="AK61" s="19" t="s">
        <v>216</v>
      </c>
      <c r="AL61" s="19" t="s">
        <v>217</v>
      </c>
      <c r="AM61" s="20">
        <v>83</v>
      </c>
      <c r="AO61" s="19" t="s">
        <v>267</v>
      </c>
      <c r="AP61" s="19" t="s">
        <v>99</v>
      </c>
      <c r="AQ61" s="20">
        <f>14+3+16</f>
        <v>33</v>
      </c>
    </row>
    <row r="62" spans="1:43" x14ac:dyDescent="0.35">
      <c r="A62" s="4">
        <v>260</v>
      </c>
      <c r="B62" s="4" t="s">
        <v>259</v>
      </c>
      <c r="C62" s="4" t="s">
        <v>56</v>
      </c>
      <c r="D62" s="4">
        <v>553</v>
      </c>
      <c r="I62">
        <v>350</v>
      </c>
      <c r="J62">
        <v>174</v>
      </c>
      <c r="K62">
        <v>19</v>
      </c>
      <c r="L62">
        <v>10</v>
      </c>
      <c r="Z62" s="17" t="s">
        <v>368</v>
      </c>
      <c r="AA62">
        <f>99+66</f>
        <v>165</v>
      </c>
      <c r="AC62" s="19" t="s">
        <v>166</v>
      </c>
      <c r="AD62" s="19" t="s">
        <v>167</v>
      </c>
      <c r="AE62" s="20">
        <v>24</v>
      </c>
      <c r="AG62" s="19" t="s">
        <v>253</v>
      </c>
      <c r="AH62" s="19" t="s">
        <v>54</v>
      </c>
      <c r="AI62" s="20">
        <v>88</v>
      </c>
      <c r="AK62" s="19" t="s">
        <v>255</v>
      </c>
      <c r="AL62" s="19" t="s">
        <v>94</v>
      </c>
      <c r="AM62" s="20">
        <v>53</v>
      </c>
      <c r="AO62" s="19" t="s">
        <v>41</v>
      </c>
      <c r="AP62" s="19" t="s">
        <v>198</v>
      </c>
      <c r="AQ62" s="20">
        <v>33</v>
      </c>
    </row>
    <row r="63" spans="1:43" x14ac:dyDescent="0.35">
      <c r="A63" s="4">
        <v>261</v>
      </c>
      <c r="B63" s="4" t="s">
        <v>260</v>
      </c>
      <c r="C63" s="4" t="s">
        <v>56</v>
      </c>
      <c r="D63" s="4">
        <v>794</v>
      </c>
      <c r="I63">
        <v>613</v>
      </c>
      <c r="J63">
        <v>398</v>
      </c>
      <c r="K63">
        <v>8</v>
      </c>
      <c r="Z63" s="17" t="s">
        <v>367</v>
      </c>
      <c r="AA63">
        <v>115</v>
      </c>
      <c r="AC63" s="19" t="s">
        <v>223</v>
      </c>
      <c r="AD63" s="19" t="s">
        <v>224</v>
      </c>
      <c r="AE63" s="20">
        <v>17</v>
      </c>
      <c r="AG63" s="19" t="s">
        <v>256</v>
      </c>
      <c r="AH63" s="19" t="s">
        <v>68</v>
      </c>
      <c r="AI63" s="20">
        <v>84</v>
      </c>
      <c r="AK63" s="19" t="s">
        <v>251</v>
      </c>
      <c r="AL63" s="19" t="s">
        <v>74</v>
      </c>
      <c r="AM63" s="20">
        <v>50</v>
      </c>
      <c r="AO63" s="28" t="s">
        <v>375</v>
      </c>
      <c r="AP63" s="28" t="s">
        <v>364</v>
      </c>
      <c r="AQ63" s="28">
        <f>19+10+3</f>
        <v>32</v>
      </c>
    </row>
    <row r="64" spans="1:43" x14ac:dyDescent="0.35">
      <c r="A64" s="4">
        <v>262</v>
      </c>
      <c r="B64" s="4" t="s">
        <v>174</v>
      </c>
      <c r="C64" s="4" t="s">
        <v>18</v>
      </c>
      <c r="D64" s="4">
        <v>3590</v>
      </c>
      <c r="I64">
        <v>1737</v>
      </c>
      <c r="J64">
        <v>2018</v>
      </c>
      <c r="K64">
        <v>28</v>
      </c>
      <c r="L64">
        <v>6</v>
      </c>
      <c r="Z64" s="17" t="s">
        <v>76</v>
      </c>
      <c r="AA64">
        <v>64</v>
      </c>
      <c r="AC64" s="4"/>
      <c r="AD64" s="4"/>
      <c r="AE64" s="2">
        <f>SUM(AE2:AE63)</f>
        <v>115436</v>
      </c>
      <c r="AG64" s="19" t="s">
        <v>172</v>
      </c>
      <c r="AH64" s="19" t="s">
        <v>173</v>
      </c>
      <c r="AI64" s="20">
        <v>77</v>
      </c>
      <c r="AK64" s="19" t="s">
        <v>282</v>
      </c>
      <c r="AL64" s="19" t="s">
        <v>68</v>
      </c>
      <c r="AM64" s="20">
        <v>49</v>
      </c>
      <c r="AO64" s="19" t="s">
        <v>162</v>
      </c>
      <c r="AP64" s="19" t="s">
        <v>17</v>
      </c>
      <c r="AQ64" s="20">
        <f>16+14+2</f>
        <v>32</v>
      </c>
    </row>
    <row r="65" spans="1:43" x14ac:dyDescent="0.35">
      <c r="A65" s="4">
        <v>263</v>
      </c>
      <c r="B65" s="4" t="s">
        <v>261</v>
      </c>
      <c r="C65" s="4" t="s">
        <v>103</v>
      </c>
      <c r="D65" s="4">
        <v>170</v>
      </c>
      <c r="I65">
        <v>114</v>
      </c>
      <c r="J65">
        <v>56</v>
      </c>
      <c r="Z65" s="17" t="s">
        <v>364</v>
      </c>
      <c r="AA65">
        <v>43</v>
      </c>
      <c r="AC65" s="17"/>
      <c r="AD65" s="17" t="s">
        <v>180</v>
      </c>
      <c r="AE65" t="s">
        <v>201</v>
      </c>
      <c r="AG65" s="19" t="s">
        <v>262</v>
      </c>
      <c r="AH65" s="19" t="s">
        <v>103</v>
      </c>
      <c r="AI65" s="20">
        <v>72</v>
      </c>
      <c r="AK65" s="19" t="s">
        <v>158</v>
      </c>
      <c r="AL65" s="19" t="s">
        <v>17</v>
      </c>
      <c r="AM65" s="20">
        <v>47</v>
      </c>
      <c r="AO65" s="28" t="s">
        <v>417</v>
      </c>
      <c r="AP65" s="28" t="s">
        <v>386</v>
      </c>
      <c r="AQ65" s="28">
        <f>7+18+3</f>
        <v>28</v>
      </c>
    </row>
    <row r="66" spans="1:43" x14ac:dyDescent="0.35">
      <c r="A66" s="4">
        <v>264</v>
      </c>
      <c r="B66" s="4" t="s">
        <v>262</v>
      </c>
      <c r="C66" s="4" t="s">
        <v>103</v>
      </c>
      <c r="D66" s="4">
        <v>271</v>
      </c>
      <c r="I66">
        <v>196</v>
      </c>
      <c r="J66">
        <v>72</v>
      </c>
      <c r="K66">
        <v>3</v>
      </c>
      <c r="Z66" s="17" t="s">
        <v>366</v>
      </c>
      <c r="AA66">
        <f>8</f>
        <v>8</v>
      </c>
      <c r="AC66" s="4"/>
      <c r="AD66" s="17" t="s">
        <v>17</v>
      </c>
      <c r="AE66">
        <f>327+663+1018+24543+890+7197+16570+8871+298+1555+1756+3122+5698+1501+1015</f>
        <v>75024</v>
      </c>
      <c r="AG66" s="19" t="s">
        <v>261</v>
      </c>
      <c r="AH66" s="19" t="s">
        <v>103</v>
      </c>
      <c r="AI66" s="20">
        <v>56</v>
      </c>
      <c r="AK66" s="19" t="s">
        <v>273</v>
      </c>
      <c r="AL66" s="19" t="s">
        <v>17</v>
      </c>
      <c r="AM66" s="20">
        <v>44</v>
      </c>
      <c r="AO66" s="19" t="s">
        <v>295</v>
      </c>
      <c r="AP66" s="19" t="s">
        <v>68</v>
      </c>
      <c r="AQ66" s="20">
        <f>18+3+6</f>
        <v>27</v>
      </c>
    </row>
    <row r="67" spans="1:43" x14ac:dyDescent="0.35">
      <c r="A67" s="4">
        <v>265</v>
      </c>
      <c r="B67" s="4" t="s">
        <v>263</v>
      </c>
      <c r="C67" s="4" t="s">
        <v>68</v>
      </c>
      <c r="D67" s="4">
        <v>665</v>
      </c>
      <c r="J67">
        <v>623</v>
      </c>
      <c r="K67">
        <v>37</v>
      </c>
      <c r="L67">
        <v>15</v>
      </c>
      <c r="AC67" s="17"/>
      <c r="AD67" s="17" t="s">
        <v>18</v>
      </c>
      <c r="AE67">
        <f>1952+1737+25280</f>
        <v>28969</v>
      </c>
      <c r="AG67" s="19" t="s">
        <v>242</v>
      </c>
      <c r="AH67" s="19" t="s">
        <v>243</v>
      </c>
      <c r="AI67" s="20">
        <v>53</v>
      </c>
      <c r="AK67" s="19" t="s">
        <v>244</v>
      </c>
      <c r="AL67" s="19" t="s">
        <v>81</v>
      </c>
      <c r="AM67" s="20">
        <v>41</v>
      </c>
      <c r="AO67" s="19" t="s">
        <v>190</v>
      </c>
      <c r="AP67" s="19" t="s">
        <v>326</v>
      </c>
      <c r="AQ67" s="20">
        <f>19+7</f>
        <v>26</v>
      </c>
    </row>
    <row r="68" spans="1:43" x14ac:dyDescent="0.35">
      <c r="A68" s="4">
        <v>266</v>
      </c>
      <c r="B68" s="4" t="s">
        <v>264</v>
      </c>
      <c r="C68" s="4" t="s">
        <v>99</v>
      </c>
      <c r="D68" s="4">
        <v>607</v>
      </c>
      <c r="I68">
        <v>265</v>
      </c>
      <c r="J68">
        <v>352</v>
      </c>
      <c r="K68">
        <v>157</v>
      </c>
      <c r="L68">
        <f>29+21+9</f>
        <v>59</v>
      </c>
      <c r="AC68" s="4"/>
      <c r="AD68" s="17" t="s">
        <v>78</v>
      </c>
      <c r="AE68">
        <f>109+119+1501+1015</f>
        <v>2744</v>
      </c>
      <c r="AG68" s="19" t="s">
        <v>164</v>
      </c>
      <c r="AH68" s="19" t="s">
        <v>165</v>
      </c>
      <c r="AI68" s="20">
        <v>51</v>
      </c>
      <c r="AK68" s="19" t="s">
        <v>263</v>
      </c>
      <c r="AL68" s="19" t="s">
        <v>68</v>
      </c>
      <c r="AM68" s="20">
        <v>37</v>
      </c>
      <c r="AO68" s="19" t="s">
        <v>40</v>
      </c>
      <c r="AP68" s="19" t="s">
        <v>198</v>
      </c>
      <c r="AQ68" s="20">
        <f>14+8+4</f>
        <v>26</v>
      </c>
    </row>
    <row r="69" spans="1:43" x14ac:dyDescent="0.35">
      <c r="A69" s="4">
        <v>267</v>
      </c>
      <c r="B69" s="4" t="s">
        <v>265</v>
      </c>
      <c r="C69" s="4" t="s">
        <v>21</v>
      </c>
      <c r="D69" s="4">
        <v>574</v>
      </c>
      <c r="I69">
        <v>233</v>
      </c>
      <c r="J69">
        <v>837</v>
      </c>
      <c r="K69">
        <v>15</v>
      </c>
      <c r="AC69" s="17"/>
      <c r="AD69" s="17" t="s">
        <v>74</v>
      </c>
      <c r="AE69">
        <f>223+390+661+1397</f>
        <v>2671</v>
      </c>
      <c r="AG69" s="19" t="s">
        <v>235</v>
      </c>
      <c r="AH69" s="19" t="s">
        <v>45</v>
      </c>
      <c r="AI69" s="20">
        <v>49</v>
      </c>
      <c r="AK69" s="19" t="s">
        <v>257</v>
      </c>
      <c r="AL69" s="19" t="s">
        <v>17</v>
      </c>
      <c r="AM69" s="20">
        <v>37</v>
      </c>
      <c r="AO69" s="19" t="s">
        <v>244</v>
      </c>
      <c r="AP69" s="19" t="s">
        <v>81</v>
      </c>
      <c r="AQ69" s="20">
        <f>12+13</f>
        <v>25</v>
      </c>
    </row>
    <row r="70" spans="1:43" x14ac:dyDescent="0.35">
      <c r="A70" s="4">
        <v>268</v>
      </c>
      <c r="B70" s="4" t="s">
        <v>42</v>
      </c>
      <c r="C70" s="4" t="s">
        <v>198</v>
      </c>
      <c r="D70" s="4">
        <v>25197</v>
      </c>
      <c r="I70">
        <v>890</v>
      </c>
      <c r="J70">
        <f>23069-890</f>
        <v>22179</v>
      </c>
      <c r="K70">
        <v>2281</v>
      </c>
      <c r="L70">
        <f>364+181+137</f>
        <v>682</v>
      </c>
      <c r="M70" s="23">
        <f>5+5+3+3+3+3+3+3</f>
        <v>28</v>
      </c>
      <c r="AC70" s="4"/>
      <c r="AD70" s="17" t="s">
        <v>68</v>
      </c>
      <c r="AE70">
        <f>1023+796+92</f>
        <v>1911</v>
      </c>
      <c r="AG70" s="19" t="s">
        <v>258</v>
      </c>
      <c r="AH70" s="19" t="s">
        <v>99</v>
      </c>
      <c r="AI70" s="20">
        <v>44</v>
      </c>
      <c r="AK70" s="19" t="s">
        <v>284</v>
      </c>
      <c r="AL70" s="19" t="s">
        <v>68</v>
      </c>
      <c r="AM70" s="20">
        <v>36</v>
      </c>
      <c r="AO70" s="19" t="s">
        <v>255</v>
      </c>
      <c r="AP70" s="19" t="s">
        <v>94</v>
      </c>
      <c r="AQ70" s="20">
        <f>11+3+11</f>
        <v>25</v>
      </c>
    </row>
    <row r="71" spans="1:43" x14ac:dyDescent="0.35">
      <c r="A71" s="4">
        <v>269</v>
      </c>
      <c r="B71" s="4" t="s">
        <v>266</v>
      </c>
      <c r="C71" s="4" t="s">
        <v>99</v>
      </c>
      <c r="D71" s="4">
        <v>217</v>
      </c>
      <c r="J71">
        <v>205</v>
      </c>
      <c r="K71">
        <v>12</v>
      </c>
      <c r="AD71" s="17" t="s">
        <v>56</v>
      </c>
      <c r="AE71">
        <f>613+482+350+68</f>
        <v>1513</v>
      </c>
      <c r="AG71" s="19" t="s">
        <v>221</v>
      </c>
      <c r="AH71" s="19" t="s">
        <v>58</v>
      </c>
      <c r="AI71" s="20">
        <v>41</v>
      </c>
      <c r="AK71" s="19" t="s">
        <v>272</v>
      </c>
      <c r="AL71" s="19" t="s">
        <v>78</v>
      </c>
      <c r="AM71" s="20">
        <v>36</v>
      </c>
      <c r="AO71" s="19" t="s">
        <v>289</v>
      </c>
      <c r="AP71" s="19" t="s">
        <v>122</v>
      </c>
      <c r="AQ71" s="20">
        <f>19+3+2</f>
        <v>24</v>
      </c>
    </row>
    <row r="72" spans="1:43" x14ac:dyDescent="0.35">
      <c r="A72" s="4">
        <v>270</v>
      </c>
      <c r="B72" s="4" t="s">
        <v>267</v>
      </c>
      <c r="C72" s="4" t="s">
        <v>99</v>
      </c>
      <c r="D72" s="4">
        <v>418</v>
      </c>
      <c r="J72">
        <v>337</v>
      </c>
      <c r="K72">
        <v>25</v>
      </c>
      <c r="L72">
        <f>14+3+16</f>
        <v>33</v>
      </c>
      <c r="AD72" s="17" t="s">
        <v>16</v>
      </c>
      <c r="AE72">
        <f>39+150+24+26+116+421+65</f>
        <v>841</v>
      </c>
      <c r="AG72" s="19" t="s">
        <v>193</v>
      </c>
      <c r="AH72" s="19" t="s">
        <v>74</v>
      </c>
      <c r="AI72" s="20">
        <v>38</v>
      </c>
      <c r="AK72" s="19" t="s">
        <v>274</v>
      </c>
      <c r="AL72" s="19" t="s">
        <v>116</v>
      </c>
      <c r="AM72" s="20">
        <v>32</v>
      </c>
      <c r="AO72" s="19" t="s">
        <v>296</v>
      </c>
      <c r="AP72" s="19" t="s">
        <v>328</v>
      </c>
      <c r="AQ72" s="20">
        <f>24</f>
        <v>24</v>
      </c>
    </row>
    <row r="73" spans="1:43" x14ac:dyDescent="0.35">
      <c r="A73" s="4">
        <v>271</v>
      </c>
      <c r="B73" s="4" t="s">
        <v>268</v>
      </c>
      <c r="C73" s="4" t="s">
        <v>56</v>
      </c>
      <c r="D73" s="4">
        <v>1015</v>
      </c>
      <c r="J73">
        <v>902</v>
      </c>
      <c r="K73">
        <v>93</v>
      </c>
      <c r="L73">
        <v>20</v>
      </c>
      <c r="AD73" s="17" t="s">
        <v>99</v>
      </c>
      <c r="AE73">
        <f>319+265</f>
        <v>584</v>
      </c>
      <c r="AG73" s="19" t="s">
        <v>241</v>
      </c>
      <c r="AH73" s="19" t="s">
        <v>78</v>
      </c>
      <c r="AI73" s="20">
        <v>35</v>
      </c>
      <c r="AK73" s="19" t="s">
        <v>235</v>
      </c>
      <c r="AL73" s="19" t="s">
        <v>45</v>
      </c>
      <c r="AM73" s="20">
        <v>29</v>
      </c>
      <c r="AO73" s="28" t="s">
        <v>378</v>
      </c>
      <c r="AP73" s="28" t="s">
        <v>387</v>
      </c>
      <c r="AQ73" s="28">
        <f>15+7</f>
        <v>22</v>
      </c>
    </row>
    <row r="74" spans="1:43" x14ac:dyDescent="0.35">
      <c r="A74" s="4">
        <v>272</v>
      </c>
      <c r="B74" s="4" t="s">
        <v>269</v>
      </c>
      <c r="C74" s="4" t="s">
        <v>68</v>
      </c>
      <c r="D74" s="4">
        <v>340</v>
      </c>
      <c r="J74">
        <v>338</v>
      </c>
      <c r="K74">
        <v>2</v>
      </c>
      <c r="AD74" s="17" t="s">
        <v>21</v>
      </c>
      <c r="AE74">
        <v>233</v>
      </c>
      <c r="AG74" s="19" t="s">
        <v>329</v>
      </c>
      <c r="AH74" s="19" t="s">
        <v>220</v>
      </c>
      <c r="AI74" s="20">
        <v>32</v>
      </c>
      <c r="AK74" s="19" t="s">
        <v>174</v>
      </c>
      <c r="AL74" s="19" t="s">
        <v>18</v>
      </c>
      <c r="AM74" s="20">
        <v>28</v>
      </c>
      <c r="AO74" s="19" t="s">
        <v>287</v>
      </c>
      <c r="AP74" s="19" t="s">
        <v>68</v>
      </c>
      <c r="AQ74" s="20">
        <f>14+8</f>
        <v>22</v>
      </c>
    </row>
    <row r="75" spans="1:43" x14ac:dyDescent="0.35">
      <c r="A75" s="4">
        <v>273</v>
      </c>
      <c r="B75" s="4" t="s">
        <v>270</v>
      </c>
      <c r="C75" s="4" t="s">
        <v>17</v>
      </c>
      <c r="D75" s="4">
        <v>2811</v>
      </c>
      <c r="J75">
        <v>2700</v>
      </c>
      <c r="K75">
        <v>100</v>
      </c>
      <c r="L75">
        <v>11</v>
      </c>
      <c r="AG75" s="19" t="s">
        <v>324</v>
      </c>
      <c r="AH75" s="19" t="s">
        <v>16</v>
      </c>
      <c r="AI75" s="20">
        <v>31</v>
      </c>
      <c r="AK75" s="19" t="s">
        <v>246</v>
      </c>
      <c r="AL75" s="19" t="s">
        <v>74</v>
      </c>
      <c r="AM75" s="20">
        <v>27</v>
      </c>
      <c r="AO75" s="19" t="s">
        <v>268</v>
      </c>
      <c r="AP75" s="19" t="s">
        <v>56</v>
      </c>
      <c r="AQ75" s="20">
        <v>20</v>
      </c>
    </row>
    <row r="76" spans="1:43" x14ac:dyDescent="0.35">
      <c r="A76" s="4">
        <v>274</v>
      </c>
      <c r="B76" s="4" t="s">
        <v>271</v>
      </c>
      <c r="C76" s="4" t="s">
        <v>81</v>
      </c>
      <c r="D76" s="4">
        <v>1084</v>
      </c>
      <c r="J76">
        <v>1072</v>
      </c>
      <c r="K76">
        <v>12</v>
      </c>
      <c r="AG76" s="19" t="s">
        <v>222</v>
      </c>
      <c r="AH76" s="19" t="s">
        <v>54</v>
      </c>
      <c r="AI76" s="20">
        <v>29</v>
      </c>
      <c r="AK76" s="19" t="s">
        <v>170</v>
      </c>
      <c r="AL76" s="19" t="s">
        <v>171</v>
      </c>
      <c r="AM76" s="20">
        <v>27</v>
      </c>
      <c r="AO76" s="19" t="s">
        <v>216</v>
      </c>
      <c r="AP76" s="19" t="s">
        <v>217</v>
      </c>
      <c r="AQ76" s="20">
        <v>20</v>
      </c>
    </row>
    <row r="77" spans="1:43" x14ac:dyDescent="0.35">
      <c r="A77" s="4">
        <v>275</v>
      </c>
      <c r="B77" s="4" t="s">
        <v>194</v>
      </c>
      <c r="C77" s="4" t="s">
        <v>78</v>
      </c>
      <c r="D77" s="4">
        <v>847</v>
      </c>
      <c r="J77">
        <v>760</v>
      </c>
      <c r="K77">
        <v>87</v>
      </c>
      <c r="AG77" s="19" t="s">
        <v>245</v>
      </c>
      <c r="AH77" s="19" t="s">
        <v>84</v>
      </c>
      <c r="AI77" s="20">
        <v>28</v>
      </c>
      <c r="AK77" s="19" t="s">
        <v>157</v>
      </c>
      <c r="AL77" s="19" t="s">
        <v>196</v>
      </c>
      <c r="AM77" s="20">
        <v>27</v>
      </c>
      <c r="AO77" s="19" t="s">
        <v>263</v>
      </c>
      <c r="AP77" s="19" t="s">
        <v>68</v>
      </c>
      <c r="AQ77" s="20">
        <v>15</v>
      </c>
    </row>
    <row r="78" spans="1:43" x14ac:dyDescent="0.35">
      <c r="A78" s="4">
        <v>276</v>
      </c>
      <c r="B78" s="4" t="s">
        <v>272</v>
      </c>
      <c r="C78" s="4" t="s">
        <v>78</v>
      </c>
      <c r="D78" s="4">
        <v>440</v>
      </c>
      <c r="J78">
        <v>404</v>
      </c>
      <c r="K78">
        <v>36</v>
      </c>
      <c r="AG78" s="19" t="s">
        <v>168</v>
      </c>
      <c r="AH78" s="19" t="s">
        <v>169</v>
      </c>
      <c r="AI78" s="20">
        <v>27</v>
      </c>
      <c r="AK78" s="19" t="s">
        <v>267</v>
      </c>
      <c r="AL78" s="19" t="s">
        <v>99</v>
      </c>
      <c r="AM78" s="20">
        <v>25</v>
      </c>
      <c r="AO78" s="19" t="s">
        <v>246</v>
      </c>
      <c r="AP78" s="19" t="s">
        <v>74</v>
      </c>
      <c r="AQ78" s="20">
        <v>13</v>
      </c>
    </row>
    <row r="79" spans="1:43" x14ac:dyDescent="0.35">
      <c r="A79" s="4">
        <v>277</v>
      </c>
      <c r="B79" s="4" t="s">
        <v>273</v>
      </c>
      <c r="C79" s="4" t="s">
        <v>17</v>
      </c>
      <c r="D79" s="4">
        <v>2146</v>
      </c>
      <c r="J79">
        <v>2102</v>
      </c>
      <c r="K79">
        <v>44</v>
      </c>
      <c r="AG79" s="19" t="s">
        <v>218</v>
      </c>
      <c r="AH79" s="19" t="s">
        <v>219</v>
      </c>
      <c r="AI79" s="20">
        <v>27</v>
      </c>
      <c r="AK79" s="19" t="s">
        <v>37</v>
      </c>
      <c r="AL79" s="19" t="s">
        <v>38</v>
      </c>
      <c r="AM79" s="20">
        <v>24</v>
      </c>
      <c r="AO79" s="28" t="s">
        <v>380</v>
      </c>
      <c r="AP79" s="28" t="s">
        <v>68</v>
      </c>
      <c r="AQ79" s="28">
        <f>6+6</f>
        <v>12</v>
      </c>
    </row>
    <row r="80" spans="1:43" x14ac:dyDescent="0.35">
      <c r="A80" s="4">
        <v>278</v>
      </c>
      <c r="B80" s="4" t="s">
        <v>163</v>
      </c>
      <c r="C80" s="4" t="s">
        <v>18</v>
      </c>
      <c r="D80" s="4">
        <v>3912</v>
      </c>
      <c r="J80">
        <v>3720</v>
      </c>
      <c r="K80">
        <v>184</v>
      </c>
      <c r="L80">
        <v>8</v>
      </c>
      <c r="AG80" s="19" t="s">
        <v>233</v>
      </c>
      <c r="AH80" s="19" t="s">
        <v>45</v>
      </c>
      <c r="AI80" s="20">
        <v>26</v>
      </c>
      <c r="AK80" s="19" t="s">
        <v>258</v>
      </c>
      <c r="AL80" s="19" t="s">
        <v>99</v>
      </c>
      <c r="AM80" s="20">
        <v>22</v>
      </c>
      <c r="AO80" s="19" t="s">
        <v>158</v>
      </c>
      <c r="AP80" s="19" t="s">
        <v>17</v>
      </c>
      <c r="AQ80" s="20">
        <v>12</v>
      </c>
    </row>
    <row r="81" spans="1:43" x14ac:dyDescent="0.35">
      <c r="A81" s="4">
        <v>279</v>
      </c>
      <c r="B81" s="4" t="s">
        <v>274</v>
      </c>
      <c r="C81" s="4" t="s">
        <v>116</v>
      </c>
      <c r="D81" s="4">
        <v>332</v>
      </c>
      <c r="J81">
        <v>300</v>
      </c>
      <c r="K81">
        <v>32</v>
      </c>
      <c r="AG81" s="19" t="s">
        <v>203</v>
      </c>
      <c r="AH81" s="19" t="s">
        <v>204</v>
      </c>
      <c r="AI81" s="20">
        <v>26</v>
      </c>
      <c r="AK81" s="19" t="s">
        <v>189</v>
      </c>
      <c r="AL81" s="19" t="s">
        <v>74</v>
      </c>
      <c r="AM81" s="20">
        <v>21</v>
      </c>
      <c r="AO81" s="19" t="s">
        <v>270</v>
      </c>
      <c r="AP81" s="19" t="s">
        <v>17</v>
      </c>
      <c r="AQ81" s="20">
        <v>11</v>
      </c>
    </row>
    <row r="82" spans="1:43" x14ac:dyDescent="0.35">
      <c r="A82" s="4">
        <v>280</v>
      </c>
      <c r="B82" s="4" t="s">
        <v>275</v>
      </c>
      <c r="C82" s="4" t="s">
        <v>116</v>
      </c>
      <c r="D82" s="4">
        <v>353</v>
      </c>
      <c r="J82">
        <v>338</v>
      </c>
      <c r="K82">
        <v>15</v>
      </c>
      <c r="AG82" s="19" t="s">
        <v>232</v>
      </c>
      <c r="AH82" s="19" t="s">
        <v>68</v>
      </c>
      <c r="AI82" s="20">
        <v>24</v>
      </c>
      <c r="AK82" s="19" t="s">
        <v>172</v>
      </c>
      <c r="AL82" s="19" t="s">
        <v>173</v>
      </c>
      <c r="AM82" s="20">
        <v>20</v>
      </c>
      <c r="AO82" s="19" t="s">
        <v>259</v>
      </c>
      <c r="AP82" s="19" t="s">
        <v>56</v>
      </c>
      <c r="AQ82" s="20">
        <v>10</v>
      </c>
    </row>
    <row r="83" spans="1:43" x14ac:dyDescent="0.35">
      <c r="A83" s="4">
        <v>281</v>
      </c>
      <c r="B83" s="4" t="s">
        <v>195</v>
      </c>
      <c r="C83" s="4" t="s">
        <v>17</v>
      </c>
      <c r="D83" s="4">
        <v>1308</v>
      </c>
      <c r="J83">
        <v>1208</v>
      </c>
      <c r="K83">
        <v>100</v>
      </c>
      <c r="AG83" s="19" t="s">
        <v>231</v>
      </c>
      <c r="AH83" s="19" t="s">
        <v>16</v>
      </c>
      <c r="AI83" s="20">
        <v>23</v>
      </c>
      <c r="AK83" s="19" t="s">
        <v>259</v>
      </c>
      <c r="AL83" s="19" t="s">
        <v>56</v>
      </c>
      <c r="AM83" s="20">
        <v>19</v>
      </c>
      <c r="AO83" s="19" t="s">
        <v>258</v>
      </c>
      <c r="AP83" s="19" t="s">
        <v>99</v>
      </c>
      <c r="AQ83" s="20">
        <v>10</v>
      </c>
    </row>
    <row r="84" spans="1:43" x14ac:dyDescent="0.35">
      <c r="A84" s="4">
        <v>282</v>
      </c>
      <c r="B84" s="4" t="s">
        <v>276</v>
      </c>
      <c r="C84" s="4" t="s">
        <v>99</v>
      </c>
      <c r="D84" s="4">
        <v>649</v>
      </c>
      <c r="J84">
        <v>303</v>
      </c>
      <c r="K84">
        <v>145</v>
      </c>
      <c r="L84">
        <f>74+29+66</f>
        <v>169</v>
      </c>
      <c r="M84" s="23">
        <v>18</v>
      </c>
      <c r="AG84" s="19" t="s">
        <v>236</v>
      </c>
      <c r="AH84" s="19" t="s">
        <v>54</v>
      </c>
      <c r="AI84" s="20">
        <v>21</v>
      </c>
      <c r="AK84" s="19" t="s">
        <v>39</v>
      </c>
      <c r="AL84" s="19" t="s">
        <v>17</v>
      </c>
      <c r="AM84" s="20">
        <v>18</v>
      </c>
      <c r="AO84" s="19" t="s">
        <v>163</v>
      </c>
      <c r="AP84" s="19" t="s">
        <v>18</v>
      </c>
      <c r="AQ84" s="20">
        <v>8</v>
      </c>
    </row>
    <row r="85" spans="1:43" x14ac:dyDescent="0.35">
      <c r="A85" s="4">
        <v>283</v>
      </c>
      <c r="B85" s="4" t="s">
        <v>277</v>
      </c>
      <c r="C85" s="4" t="s">
        <v>99</v>
      </c>
      <c r="D85" s="4">
        <v>560</v>
      </c>
      <c r="J85">
        <v>187</v>
      </c>
      <c r="K85">
        <v>237</v>
      </c>
      <c r="L85">
        <f>67+24+45</f>
        <v>136</v>
      </c>
      <c r="AG85" s="19" t="s">
        <v>239</v>
      </c>
      <c r="AH85" s="19" t="s">
        <v>76</v>
      </c>
      <c r="AI85" s="20">
        <v>17</v>
      </c>
      <c r="AK85" s="19" t="s">
        <v>230</v>
      </c>
      <c r="AL85" s="19" t="s">
        <v>17</v>
      </c>
      <c r="AM85" s="20">
        <v>17</v>
      </c>
      <c r="AO85" s="19" t="s">
        <v>174</v>
      </c>
      <c r="AP85" s="19" t="s">
        <v>18</v>
      </c>
      <c r="AQ85" s="20">
        <v>6</v>
      </c>
    </row>
    <row r="86" spans="1:43" x14ac:dyDescent="0.35">
      <c r="A86" s="4">
        <v>284</v>
      </c>
      <c r="B86" s="4" t="s">
        <v>278</v>
      </c>
      <c r="C86" s="4" t="s">
        <v>327</v>
      </c>
      <c r="D86" s="4">
        <v>2035</v>
      </c>
      <c r="J86">
        <v>1884</v>
      </c>
      <c r="K86">
        <v>151</v>
      </c>
      <c r="AG86" s="19" t="s">
        <v>154</v>
      </c>
      <c r="AH86" s="19" t="s">
        <v>16</v>
      </c>
      <c r="AI86" s="20">
        <v>8</v>
      </c>
      <c r="AK86" s="19" t="s">
        <v>192</v>
      </c>
      <c r="AL86" s="19" t="s">
        <v>68</v>
      </c>
      <c r="AM86" s="20">
        <v>15</v>
      </c>
      <c r="AO86" s="19" t="s">
        <v>251</v>
      </c>
      <c r="AP86" s="19" t="s">
        <v>90</v>
      </c>
      <c r="AQ86" s="20">
        <v>6</v>
      </c>
    </row>
    <row r="87" spans="1:43" x14ac:dyDescent="0.35">
      <c r="A87" s="4">
        <v>285</v>
      </c>
      <c r="B87" s="4" t="s">
        <v>279</v>
      </c>
      <c r="C87" s="4" t="s">
        <v>18</v>
      </c>
      <c r="D87" s="4">
        <v>2338</v>
      </c>
      <c r="J87">
        <v>2337</v>
      </c>
      <c r="K87">
        <v>723</v>
      </c>
      <c r="L87">
        <f>20+9+6</f>
        <v>35</v>
      </c>
      <c r="AG87" s="19" t="s">
        <v>209</v>
      </c>
      <c r="AH87" s="19" t="s">
        <v>210</v>
      </c>
      <c r="AI87" s="20">
        <v>6</v>
      </c>
      <c r="AK87" s="19" t="s">
        <v>275</v>
      </c>
      <c r="AL87" s="19" t="s">
        <v>116</v>
      </c>
      <c r="AM87" s="20">
        <v>15</v>
      </c>
      <c r="AO87" s="19" t="s">
        <v>157</v>
      </c>
      <c r="AP87" s="19" t="s">
        <v>196</v>
      </c>
      <c r="AQ87" s="20">
        <v>5</v>
      </c>
    </row>
    <row r="88" spans="1:43" x14ac:dyDescent="0.35">
      <c r="A88" s="4">
        <v>286</v>
      </c>
      <c r="B88" s="4" t="s">
        <v>280</v>
      </c>
      <c r="C88" s="4" t="s">
        <v>99</v>
      </c>
      <c r="D88" s="4">
        <v>469</v>
      </c>
      <c r="J88">
        <v>215</v>
      </c>
      <c r="K88">
        <v>198</v>
      </c>
      <c r="L88">
        <f>25+18+26</f>
        <v>69</v>
      </c>
      <c r="AG88" s="19" t="s">
        <v>166</v>
      </c>
      <c r="AH88" s="19" t="s">
        <v>167</v>
      </c>
      <c r="AI88" s="20">
        <v>6</v>
      </c>
      <c r="AK88" s="19" t="s">
        <v>265</v>
      </c>
      <c r="AL88" s="19" t="s">
        <v>21</v>
      </c>
      <c r="AM88" s="20">
        <v>15</v>
      </c>
      <c r="AO88" s="19" t="s">
        <v>37</v>
      </c>
      <c r="AP88" s="19" t="s">
        <v>38</v>
      </c>
      <c r="AQ88" s="20">
        <v>5</v>
      </c>
    </row>
    <row r="89" spans="1:43" x14ac:dyDescent="0.35">
      <c r="A89" s="4">
        <v>287</v>
      </c>
      <c r="B89" s="4" t="s">
        <v>190</v>
      </c>
      <c r="C89" s="4" t="s">
        <v>326</v>
      </c>
      <c r="D89" s="4">
        <v>3029</v>
      </c>
      <c r="J89">
        <v>2391</v>
      </c>
      <c r="K89">
        <v>858</v>
      </c>
      <c r="L89">
        <f>19+7</f>
        <v>26</v>
      </c>
      <c r="AG89" s="19" t="s">
        <v>234</v>
      </c>
      <c r="AH89" s="19" t="s">
        <v>71</v>
      </c>
      <c r="AI89" s="20">
        <v>4</v>
      </c>
      <c r="AJ89" s="24"/>
      <c r="AK89" s="19" t="s">
        <v>271</v>
      </c>
      <c r="AL89" s="19" t="s">
        <v>81</v>
      </c>
      <c r="AM89" s="20">
        <v>12</v>
      </c>
      <c r="AO89" s="19" t="s">
        <v>235</v>
      </c>
      <c r="AP89" s="19" t="s">
        <v>45</v>
      </c>
      <c r="AQ89" s="20">
        <v>5</v>
      </c>
    </row>
    <row r="90" spans="1:43" x14ac:dyDescent="0.35">
      <c r="A90" s="4">
        <v>288</v>
      </c>
      <c r="B90" s="4" t="s">
        <v>281</v>
      </c>
      <c r="C90" s="4" t="s">
        <v>17</v>
      </c>
      <c r="D90" s="4">
        <v>1542</v>
      </c>
      <c r="J90">
        <v>842</v>
      </c>
      <c r="K90">
        <v>662</v>
      </c>
      <c r="L90">
        <f>32+4+2</f>
        <v>38</v>
      </c>
      <c r="AG90" s="19" t="s">
        <v>208</v>
      </c>
      <c r="AH90" s="19" t="s">
        <v>45</v>
      </c>
      <c r="AI90" s="20">
        <v>3</v>
      </c>
      <c r="AK90" s="19" t="s">
        <v>266</v>
      </c>
      <c r="AL90" s="19" t="s">
        <v>99</v>
      </c>
      <c r="AM90" s="20">
        <v>12</v>
      </c>
      <c r="AO90" s="19" t="s">
        <v>245</v>
      </c>
      <c r="AP90" s="19" t="s">
        <v>84</v>
      </c>
      <c r="AQ90" s="20">
        <v>4</v>
      </c>
    </row>
    <row r="91" spans="1:43" x14ac:dyDescent="0.35">
      <c r="A91" s="4">
        <v>289</v>
      </c>
      <c r="B91" s="4" t="s">
        <v>282</v>
      </c>
      <c r="C91" s="4" t="s">
        <v>68</v>
      </c>
      <c r="D91" s="4">
        <v>349</v>
      </c>
      <c r="J91">
        <v>300</v>
      </c>
      <c r="K91">
        <v>49</v>
      </c>
      <c r="AG91" s="17"/>
      <c r="AI91">
        <f>SUM(AI2:AI90)</f>
        <v>92190</v>
      </c>
      <c r="AK91" s="19" t="s">
        <v>193</v>
      </c>
      <c r="AL91" s="19" t="s">
        <v>74</v>
      </c>
      <c r="AM91" s="20">
        <v>10</v>
      </c>
      <c r="AO91" s="23"/>
      <c r="AP91" s="23"/>
      <c r="AQ91" s="23">
        <f>SUM(AQ2:AQ90)</f>
        <v>28481</v>
      </c>
    </row>
    <row r="92" spans="1:43" x14ac:dyDescent="0.35">
      <c r="A92" s="4">
        <v>290</v>
      </c>
      <c r="B92" s="4" t="s">
        <v>283</v>
      </c>
      <c r="C92" s="4" t="s">
        <v>21</v>
      </c>
      <c r="D92" s="4">
        <v>832</v>
      </c>
      <c r="J92">
        <v>347</v>
      </c>
      <c r="K92">
        <v>351</v>
      </c>
      <c r="L92">
        <f>28+180</f>
        <v>208</v>
      </c>
      <c r="M92" s="23">
        <v>5</v>
      </c>
      <c r="AG92" s="17"/>
      <c r="AH92" s="17" t="s">
        <v>180</v>
      </c>
      <c r="AI92" s="23" t="s">
        <v>201</v>
      </c>
      <c r="AK92" s="19" t="s">
        <v>245</v>
      </c>
      <c r="AL92" s="19" t="s">
        <v>84</v>
      </c>
      <c r="AM92" s="20">
        <v>10</v>
      </c>
      <c r="AO92" s="23"/>
      <c r="AP92" s="19" t="s">
        <v>200</v>
      </c>
      <c r="AQ92" t="s">
        <v>422</v>
      </c>
    </row>
    <row r="93" spans="1:43" x14ac:dyDescent="0.35">
      <c r="A93" s="4">
        <v>291</v>
      </c>
      <c r="B93" s="4" t="s">
        <v>284</v>
      </c>
      <c r="C93" s="4" t="s">
        <v>68</v>
      </c>
      <c r="D93" s="4">
        <v>324</v>
      </c>
      <c r="J93">
        <v>288</v>
      </c>
      <c r="K93">
        <v>36</v>
      </c>
      <c r="AG93" s="17"/>
      <c r="AH93" s="17" t="s">
        <v>17</v>
      </c>
      <c r="AI93" s="23">
        <f>53+77+1112+508+2362+1876+8011+22179+551+161+203+600+791+824+1208+2102+2700+522</f>
        <v>45840</v>
      </c>
      <c r="AK93" s="19" t="s">
        <v>164</v>
      </c>
      <c r="AL93" s="19" t="s">
        <v>165</v>
      </c>
      <c r="AM93" s="20">
        <v>10</v>
      </c>
      <c r="AO93" s="4"/>
      <c r="AP93" s="17" t="s">
        <v>17</v>
      </c>
      <c r="AQ93" s="23">
        <f>455+50+135+972+869+38+11+2743+268+12+32+1927+367+5+682+26+33+228+5+687+101+66</f>
        <v>9712</v>
      </c>
    </row>
    <row r="94" spans="1:43" x14ac:dyDescent="0.35">
      <c r="A94" s="4">
        <v>292</v>
      </c>
      <c r="B94" s="4" t="s">
        <v>285</v>
      </c>
      <c r="C94" s="4" t="s">
        <v>286</v>
      </c>
      <c r="D94" s="4">
        <v>1767</v>
      </c>
      <c r="J94">
        <v>1112</v>
      </c>
      <c r="K94">
        <v>580</v>
      </c>
      <c r="L94">
        <f>101</f>
        <v>101</v>
      </c>
      <c r="AG94" s="17"/>
      <c r="AH94" s="17" t="s">
        <v>18</v>
      </c>
      <c r="AI94" s="23">
        <f>13870+2018+2337+2853+3720+2397</f>
        <v>27195</v>
      </c>
      <c r="AK94" s="19" t="s">
        <v>222</v>
      </c>
      <c r="AL94" s="19" t="s">
        <v>54</v>
      </c>
      <c r="AM94" s="20">
        <v>9</v>
      </c>
      <c r="AO94" s="4"/>
      <c r="AP94" s="17" t="s">
        <v>18</v>
      </c>
      <c r="AQ94" s="23">
        <f>101+8+523+369+5312+1365+333+74+122+35+42+6+250+84+346</f>
        <v>8970</v>
      </c>
    </row>
    <row r="95" spans="1:43" x14ac:dyDescent="0.35">
      <c r="A95" s="4">
        <v>293</v>
      </c>
      <c r="B95" s="4" t="s">
        <v>287</v>
      </c>
      <c r="C95" s="4" t="s">
        <v>68</v>
      </c>
      <c r="D95" s="4">
        <v>431</v>
      </c>
      <c r="J95">
        <v>257</v>
      </c>
      <c r="K95">
        <v>152</v>
      </c>
      <c r="L95">
        <f>14+8</f>
        <v>22</v>
      </c>
      <c r="AG95" s="17"/>
      <c r="AH95" s="17" t="s">
        <v>363</v>
      </c>
      <c r="AI95" s="23">
        <f>837+347+153+1884</f>
        <v>3221</v>
      </c>
      <c r="AK95" s="19" t="s">
        <v>241</v>
      </c>
      <c r="AL95" s="19" t="s">
        <v>78</v>
      </c>
      <c r="AM95" s="20">
        <v>9</v>
      </c>
      <c r="AO95" s="4"/>
      <c r="AP95" s="17" t="s">
        <v>25</v>
      </c>
      <c r="AQ95" s="23">
        <f>193+346+337+568+22+100+1221+92+538+429+36</f>
        <v>3882</v>
      </c>
    </row>
    <row r="96" spans="1:43" x14ac:dyDescent="0.35">
      <c r="A96" s="4">
        <v>294</v>
      </c>
      <c r="B96" s="4" t="s">
        <v>288</v>
      </c>
      <c r="C96" s="4" t="s">
        <v>21</v>
      </c>
      <c r="D96" s="4">
        <v>390</v>
      </c>
      <c r="J96">
        <v>153</v>
      </c>
      <c r="K96">
        <v>256</v>
      </c>
      <c r="AG96" s="17"/>
      <c r="AH96" s="17" t="s">
        <v>122</v>
      </c>
      <c r="AI96" s="23">
        <v>2391</v>
      </c>
      <c r="AK96" s="19" t="s">
        <v>260</v>
      </c>
      <c r="AL96" s="19" t="s">
        <v>56</v>
      </c>
      <c r="AM96" s="20">
        <v>8</v>
      </c>
      <c r="AO96" s="4"/>
      <c r="AP96" s="17" t="s">
        <v>141</v>
      </c>
      <c r="AQ96" s="23">
        <f>1221+265+686+1250</f>
        <v>3422</v>
      </c>
    </row>
    <row r="97" spans="1:43" x14ac:dyDescent="0.35">
      <c r="A97" s="4">
        <v>295</v>
      </c>
      <c r="B97" s="4" t="s">
        <v>289</v>
      </c>
      <c r="C97" s="4" t="s">
        <v>122</v>
      </c>
      <c r="D97" s="4">
        <v>889</v>
      </c>
      <c r="K97">
        <v>865</v>
      </c>
      <c r="L97">
        <f>19+3+2</f>
        <v>24</v>
      </c>
      <c r="AH97" s="17" t="s">
        <v>68</v>
      </c>
      <c r="AI97" s="23">
        <f>623+386+338+300+288+257+84+24</f>
        <v>2300</v>
      </c>
      <c r="AK97" s="19" t="s">
        <v>253</v>
      </c>
      <c r="AL97" s="19" t="s">
        <v>54</v>
      </c>
      <c r="AM97" s="20">
        <v>5</v>
      </c>
      <c r="AO97" s="4"/>
      <c r="AP97" s="17" t="s">
        <v>122</v>
      </c>
      <c r="AQ97" s="23">
        <f>89+197+24+88+145+26+455+687+285</f>
        <v>1996</v>
      </c>
    </row>
    <row r="98" spans="1:43" x14ac:dyDescent="0.35">
      <c r="A98" s="4">
        <v>296</v>
      </c>
      <c r="B98" s="4" t="s">
        <v>290</v>
      </c>
      <c r="C98" s="4" t="s">
        <v>116</v>
      </c>
      <c r="D98" s="4">
        <v>1604</v>
      </c>
      <c r="K98">
        <v>1561</v>
      </c>
      <c r="L98">
        <f>32+6</f>
        <v>38</v>
      </c>
      <c r="AH98" s="17" t="s">
        <v>78</v>
      </c>
      <c r="AI98">
        <f>760+404+167+35+522+330</f>
        <v>2218</v>
      </c>
      <c r="AK98" s="19" t="s">
        <v>262</v>
      </c>
      <c r="AL98" s="19" t="s">
        <v>103</v>
      </c>
      <c r="AM98" s="20">
        <v>3</v>
      </c>
      <c r="AO98" s="4"/>
      <c r="AP98" s="17" t="s">
        <v>68</v>
      </c>
      <c r="AQ98" s="23">
        <f>285+687+22+15+64+12+27+337+236</f>
        <v>1685</v>
      </c>
    </row>
    <row r="99" spans="1:43" x14ac:dyDescent="0.35">
      <c r="A99" s="4">
        <v>297</v>
      </c>
      <c r="B99" s="4" t="s">
        <v>176</v>
      </c>
      <c r="C99" s="4" t="s">
        <v>18</v>
      </c>
      <c r="D99" s="4">
        <v>3066</v>
      </c>
      <c r="K99">
        <v>2992</v>
      </c>
      <c r="L99">
        <f>56+12+6</f>
        <v>74</v>
      </c>
      <c r="AH99" s="17" t="s">
        <v>56</v>
      </c>
      <c r="AI99">
        <f>902+476+398+174+32</f>
        <v>1982</v>
      </c>
      <c r="AK99" s="19" t="s">
        <v>269</v>
      </c>
      <c r="AL99" s="19" t="s">
        <v>68</v>
      </c>
      <c r="AM99" s="20">
        <v>2</v>
      </c>
      <c r="AO99" s="4"/>
      <c r="AP99" s="17" t="s">
        <v>99</v>
      </c>
      <c r="AQ99" s="23">
        <f>59+169+33+136+312+10+69</f>
        <v>788</v>
      </c>
    </row>
    <row r="100" spans="1:43" x14ac:dyDescent="0.35">
      <c r="A100" s="4">
        <v>298</v>
      </c>
      <c r="B100" s="4" t="s">
        <v>43</v>
      </c>
      <c r="C100" s="4" t="s">
        <v>17</v>
      </c>
      <c r="D100" s="4">
        <v>15361</v>
      </c>
      <c r="K100">
        <v>14483</v>
      </c>
      <c r="L100">
        <f>704+115+50</f>
        <v>869</v>
      </c>
      <c r="M100" s="23">
        <f>3+6</f>
        <v>9</v>
      </c>
      <c r="AH100" s="17" t="s">
        <v>99</v>
      </c>
      <c r="AI100" s="23">
        <f>352+337+303+215+205+187+44</f>
        <v>1643</v>
      </c>
      <c r="AK100" s="19" t="s">
        <v>231</v>
      </c>
      <c r="AL100" s="19" t="s">
        <v>16</v>
      </c>
      <c r="AM100" s="20">
        <v>2</v>
      </c>
      <c r="AO100" s="4"/>
      <c r="AP100" s="4"/>
    </row>
    <row r="101" spans="1:43" x14ac:dyDescent="0.35">
      <c r="A101" s="4">
        <v>299</v>
      </c>
      <c r="B101" s="4" t="s">
        <v>291</v>
      </c>
      <c r="C101" s="4" t="s">
        <v>131</v>
      </c>
      <c r="D101" s="4">
        <v>1544</v>
      </c>
      <c r="K101">
        <v>881</v>
      </c>
      <c r="L101">
        <f>91+5</f>
        <v>96</v>
      </c>
      <c r="AH101" s="17" t="s">
        <v>81</v>
      </c>
      <c r="AI101">
        <f>1072+122</f>
        <v>1194</v>
      </c>
      <c r="AK101" s="26"/>
      <c r="AL101" s="26"/>
      <c r="AM101" s="26">
        <f>SUM(AM2:AM100)</f>
        <v>69542</v>
      </c>
      <c r="AO101" s="4"/>
      <c r="AP101" s="4"/>
    </row>
    <row r="102" spans="1:43" x14ac:dyDescent="0.35">
      <c r="A102" s="4">
        <v>300</v>
      </c>
      <c r="B102" s="4" t="s">
        <v>292</v>
      </c>
      <c r="C102" s="4" t="s">
        <v>17</v>
      </c>
      <c r="D102" s="4">
        <v>2276</v>
      </c>
      <c r="K102">
        <v>1008</v>
      </c>
      <c r="L102">
        <f>239+18+11</f>
        <v>268</v>
      </c>
      <c r="AH102" s="17" t="s">
        <v>25</v>
      </c>
      <c r="AI102">
        <v>1111</v>
      </c>
      <c r="AK102" s="4"/>
      <c r="AO102" s="4"/>
      <c r="AP102" s="4"/>
    </row>
    <row r="103" spans="1:43" x14ac:dyDescent="0.35">
      <c r="A103" s="4">
        <v>301</v>
      </c>
      <c r="B103" s="4" t="s">
        <v>159</v>
      </c>
      <c r="C103" s="4" t="s">
        <v>18</v>
      </c>
      <c r="D103" s="4">
        <v>5709</v>
      </c>
      <c r="K103">
        <v>5340</v>
      </c>
      <c r="L103">
        <f>337+24+8</f>
        <v>369</v>
      </c>
      <c r="AH103" s="17" t="s">
        <v>116</v>
      </c>
      <c r="AI103">
        <f>338+300</f>
        <v>638</v>
      </c>
      <c r="AK103" s="17"/>
      <c r="AL103" s="17" t="s">
        <v>180</v>
      </c>
      <c r="AM103" t="s">
        <v>201</v>
      </c>
      <c r="AO103" s="4"/>
      <c r="AP103" s="4"/>
    </row>
    <row r="104" spans="1:43" x14ac:dyDescent="0.35">
      <c r="A104" s="4">
        <v>302</v>
      </c>
      <c r="B104" s="4" t="s">
        <v>293</v>
      </c>
      <c r="C104" s="4" t="s">
        <v>122</v>
      </c>
      <c r="D104" s="4">
        <v>1312</v>
      </c>
      <c r="K104">
        <v>1224</v>
      </c>
      <c r="L104">
        <f>78+10</f>
        <v>88</v>
      </c>
      <c r="AH104" s="17" t="s">
        <v>94</v>
      </c>
      <c r="AI104">
        <f>419+145</f>
        <v>564</v>
      </c>
      <c r="AK104" s="4"/>
      <c r="AL104" s="17" t="s">
        <v>17</v>
      </c>
      <c r="AM104">
        <f>340+20+580+24+601+132+248+2281+27+17+18+37+44+47+100+100+153+356+662+1008+14483+128+132</f>
        <v>21538</v>
      </c>
      <c r="AO104" s="4"/>
      <c r="AP104" s="4"/>
    </row>
    <row r="105" spans="1:43" x14ac:dyDescent="0.35">
      <c r="A105" s="4">
        <v>303</v>
      </c>
      <c r="B105" s="4" t="s">
        <v>161</v>
      </c>
      <c r="C105" s="4" t="s">
        <v>294</v>
      </c>
      <c r="D105" s="4">
        <v>4578</v>
      </c>
      <c r="K105">
        <v>4385</v>
      </c>
      <c r="L105">
        <f>172+16+5</f>
        <v>193</v>
      </c>
      <c r="AH105" s="17" t="s">
        <v>54</v>
      </c>
      <c r="AI105">
        <f>88+29+21+107</f>
        <v>245</v>
      </c>
      <c r="AK105" s="4"/>
      <c r="AL105" s="17" t="s">
        <v>18</v>
      </c>
      <c r="AM105">
        <f>580+551+28+158+184+573+723+2992+5340+6476</f>
        <v>17605</v>
      </c>
      <c r="AO105" s="4"/>
      <c r="AP105" s="4"/>
    </row>
    <row r="106" spans="1:43" x14ac:dyDescent="0.35">
      <c r="A106" s="4">
        <v>304</v>
      </c>
      <c r="B106" s="4" t="s">
        <v>295</v>
      </c>
      <c r="C106" s="4" t="s">
        <v>68</v>
      </c>
      <c r="D106" s="4">
        <v>359</v>
      </c>
      <c r="K106">
        <v>332</v>
      </c>
      <c r="L106">
        <f>18+3+6</f>
        <v>27</v>
      </c>
      <c r="AH106" s="17" t="s">
        <v>16</v>
      </c>
      <c r="AI106">
        <f>26+51+6+8+23+31+27</f>
        <v>172</v>
      </c>
      <c r="AK106" s="4"/>
      <c r="AL106" s="17" t="s">
        <v>25</v>
      </c>
      <c r="AM106">
        <f>6623+2539+1486+1412+908</f>
        <v>12968</v>
      </c>
      <c r="AO106" s="4"/>
      <c r="AP106" s="4"/>
    </row>
    <row r="107" spans="1:43" x14ac:dyDescent="0.35">
      <c r="A107" s="4">
        <v>305</v>
      </c>
      <c r="B107" s="4" t="s">
        <v>296</v>
      </c>
      <c r="C107" s="4" t="s">
        <v>328</v>
      </c>
      <c r="D107" s="4">
        <v>600</v>
      </c>
      <c r="K107">
        <v>576</v>
      </c>
      <c r="L107">
        <f>24</f>
        <v>24</v>
      </c>
      <c r="AK107" s="4"/>
      <c r="AL107" s="17" t="s">
        <v>22</v>
      </c>
      <c r="AM107">
        <f>340+4385+576+442</f>
        <v>5743</v>
      </c>
      <c r="AO107" s="4"/>
      <c r="AP107" s="4"/>
    </row>
    <row r="108" spans="1:43" x14ac:dyDescent="0.35">
      <c r="A108" s="4">
        <v>306</v>
      </c>
      <c r="B108" s="4" t="s">
        <v>297</v>
      </c>
      <c r="C108" s="4" t="s">
        <v>18</v>
      </c>
      <c r="D108" s="4">
        <v>823</v>
      </c>
      <c r="K108">
        <v>573</v>
      </c>
      <c r="L108">
        <f>240+10</f>
        <v>250</v>
      </c>
      <c r="AL108" s="17" t="s">
        <v>25</v>
      </c>
      <c r="AM108">
        <f>4385+386+381</f>
        <v>5152</v>
      </c>
      <c r="AO108" s="4"/>
      <c r="AP108" s="4"/>
    </row>
    <row r="109" spans="1:43" x14ac:dyDescent="0.35">
      <c r="A109" s="4">
        <v>307</v>
      </c>
      <c r="B109" s="4" t="s">
        <v>298</v>
      </c>
      <c r="C109" s="4" t="s">
        <v>22</v>
      </c>
      <c r="D109" s="4">
        <v>542</v>
      </c>
      <c r="K109">
        <v>442</v>
      </c>
      <c r="L109">
        <f>190+3+8</f>
        <v>201</v>
      </c>
      <c r="AL109" s="17" t="s">
        <v>122</v>
      </c>
      <c r="AM109">
        <f>1224+865+858+1303+375</f>
        <v>4625</v>
      </c>
      <c r="AO109" s="4"/>
      <c r="AP109" s="4"/>
    </row>
    <row r="110" spans="1:43" x14ac:dyDescent="0.35">
      <c r="A110" s="4">
        <v>308</v>
      </c>
      <c r="B110" s="4" t="s">
        <v>299</v>
      </c>
      <c r="C110" s="4" t="s">
        <v>25</v>
      </c>
      <c r="D110" s="4">
        <v>481</v>
      </c>
      <c r="K110">
        <v>381</v>
      </c>
      <c r="L110">
        <f>95+5</f>
        <v>100</v>
      </c>
      <c r="AL110" s="17" t="s">
        <v>68</v>
      </c>
      <c r="AM110">
        <f>332+152+49+37+36+15+2+258+471+403</f>
        <v>1755</v>
      </c>
      <c r="AO110" s="4"/>
      <c r="AP110" s="4"/>
    </row>
    <row r="111" spans="1:43" x14ac:dyDescent="0.35">
      <c r="A111" s="4">
        <v>309</v>
      </c>
      <c r="B111" s="4" t="s">
        <v>175</v>
      </c>
      <c r="C111" s="4" t="s">
        <v>17</v>
      </c>
      <c r="D111" s="4">
        <v>3111</v>
      </c>
      <c r="K111">
        <v>356</v>
      </c>
      <c r="L111">
        <f>2339+319+85</f>
        <v>2743</v>
      </c>
      <c r="M111" s="23">
        <f>5+7</f>
        <v>12</v>
      </c>
      <c r="AL111" s="17" t="s">
        <v>116</v>
      </c>
      <c r="AM111">
        <f>1561+32+15</f>
        <v>1608</v>
      </c>
      <c r="AO111" s="4"/>
      <c r="AP111" s="4"/>
    </row>
    <row r="112" spans="1:43" x14ac:dyDescent="0.35">
      <c r="A112" s="4">
        <v>310</v>
      </c>
      <c r="B112" s="4" t="s">
        <v>300</v>
      </c>
      <c r="C112" s="4" t="s">
        <v>301</v>
      </c>
      <c r="D112" s="4">
        <v>406</v>
      </c>
      <c r="K112">
        <v>340</v>
      </c>
      <c r="L112">
        <f>56+10</f>
        <v>66</v>
      </c>
      <c r="AL112" s="17" t="s">
        <v>99</v>
      </c>
      <c r="AM112">
        <f>237+198+157+145+25+22+12</f>
        <v>796</v>
      </c>
      <c r="AO112" s="4"/>
      <c r="AP112" s="4"/>
    </row>
    <row r="113" spans="1:42" x14ac:dyDescent="0.35">
      <c r="A113" s="4">
        <v>311</v>
      </c>
      <c r="B113" s="4" t="s">
        <v>302</v>
      </c>
      <c r="C113" s="4" t="s">
        <v>25</v>
      </c>
      <c r="D113" s="4">
        <v>924</v>
      </c>
      <c r="K113">
        <v>386</v>
      </c>
      <c r="L113">
        <f>499+33+6</f>
        <v>538</v>
      </c>
      <c r="AL113" s="17" t="s">
        <v>371</v>
      </c>
      <c r="AM113">
        <f>351+256+15+151</f>
        <v>773</v>
      </c>
      <c r="AO113" s="4"/>
      <c r="AP113" s="4"/>
    </row>
    <row r="114" spans="1:42" x14ac:dyDescent="0.35">
      <c r="A114" s="4">
        <v>312</v>
      </c>
      <c r="B114" s="4" t="s">
        <v>303</v>
      </c>
      <c r="C114" s="4" t="s">
        <v>304</v>
      </c>
      <c r="D114" s="4">
        <v>1263</v>
      </c>
      <c r="L114">
        <f>1006+213+31</f>
        <v>1250</v>
      </c>
      <c r="M114" s="23">
        <v>13</v>
      </c>
      <c r="AL114" s="17" t="s">
        <v>78</v>
      </c>
      <c r="AM114">
        <f>87+84+36+9+128+132</f>
        <v>476</v>
      </c>
      <c r="AO114" s="4"/>
      <c r="AP114" s="4"/>
    </row>
    <row r="115" spans="1:42" x14ac:dyDescent="0.35">
      <c r="A115" s="4">
        <v>313</v>
      </c>
      <c r="B115" s="4" t="s">
        <v>160</v>
      </c>
      <c r="C115" s="4" t="s">
        <v>18</v>
      </c>
      <c r="D115" s="4">
        <v>5376</v>
      </c>
      <c r="L115">
        <f>4356+802+154</f>
        <v>5312</v>
      </c>
      <c r="M115" s="23">
        <v>64</v>
      </c>
      <c r="AL115" s="17" t="s">
        <v>389</v>
      </c>
      <c r="AM115">
        <v>471</v>
      </c>
      <c r="AO115" s="4"/>
      <c r="AP115" s="4"/>
    </row>
    <row r="116" spans="1:42" x14ac:dyDescent="0.35">
      <c r="A116" s="4">
        <v>314</v>
      </c>
      <c r="B116" s="4" t="s">
        <v>305</v>
      </c>
      <c r="C116" s="4" t="s">
        <v>306</v>
      </c>
      <c r="D116" s="4">
        <v>687</v>
      </c>
      <c r="L116">
        <f>538+144+5</f>
        <v>687</v>
      </c>
      <c r="AL116" s="17" t="s">
        <v>56</v>
      </c>
      <c r="AM116">
        <f>178+93+19+8</f>
        <v>298</v>
      </c>
      <c r="AO116" s="4"/>
      <c r="AP116" s="4"/>
    </row>
    <row r="117" spans="1:42" x14ac:dyDescent="0.35">
      <c r="A117" s="4">
        <v>315</v>
      </c>
      <c r="B117" s="4" t="s">
        <v>307</v>
      </c>
      <c r="C117" s="4" t="s">
        <v>308</v>
      </c>
      <c r="D117" s="4">
        <v>339</v>
      </c>
      <c r="L117">
        <f>251+81+5</f>
        <v>337</v>
      </c>
      <c r="M117" s="23">
        <v>2</v>
      </c>
      <c r="AL117" s="17" t="s">
        <v>386</v>
      </c>
      <c r="AM117">
        <v>169</v>
      </c>
      <c r="AO117" s="4"/>
      <c r="AP117" s="4"/>
    </row>
    <row r="118" spans="1:42" x14ac:dyDescent="0.35">
      <c r="A118" s="4">
        <v>316</v>
      </c>
      <c r="B118" s="4" t="s">
        <v>311</v>
      </c>
      <c r="C118" s="4" t="s">
        <v>312</v>
      </c>
      <c r="D118" s="4">
        <v>460</v>
      </c>
      <c r="L118">
        <f>375+75+5</f>
        <v>455</v>
      </c>
      <c r="AL118" s="17" t="s">
        <v>364</v>
      </c>
      <c r="AM118">
        <v>132</v>
      </c>
      <c r="AO118" s="4"/>
      <c r="AP118" s="4"/>
    </row>
    <row r="119" spans="1:42" x14ac:dyDescent="0.35">
      <c r="A119" s="4">
        <v>317</v>
      </c>
      <c r="B119" s="4" t="s">
        <v>313</v>
      </c>
      <c r="C119" s="4" t="s">
        <v>314</v>
      </c>
      <c r="D119" s="4">
        <v>291</v>
      </c>
      <c r="L119">
        <f>196+69+20</f>
        <v>285</v>
      </c>
      <c r="M119" s="23">
        <v>6</v>
      </c>
      <c r="AL119" s="17" t="s">
        <v>74</v>
      </c>
      <c r="AM119">
        <f>50+27+21+10</f>
        <v>108</v>
      </c>
      <c r="AO119" s="4"/>
      <c r="AP119" s="4"/>
    </row>
    <row r="120" spans="1:42" x14ac:dyDescent="0.35">
      <c r="A120" s="4">
        <v>318</v>
      </c>
      <c r="B120" s="4" t="s">
        <v>309</v>
      </c>
      <c r="C120" s="4" t="s">
        <v>17</v>
      </c>
      <c r="D120" s="4">
        <v>2004</v>
      </c>
      <c r="L120">
        <f>1008+834+85</f>
        <v>1927</v>
      </c>
      <c r="M120" s="23">
        <v>12</v>
      </c>
      <c r="AL120" s="17" t="s">
        <v>81</v>
      </c>
      <c r="AM120">
        <v>53</v>
      </c>
    </row>
    <row r="121" spans="1:42" x14ac:dyDescent="0.35">
      <c r="A121" s="4">
        <v>319</v>
      </c>
      <c r="B121" s="4" t="s">
        <v>310</v>
      </c>
      <c r="C121" s="4" t="s">
        <v>141</v>
      </c>
      <c r="D121" s="4">
        <v>1235</v>
      </c>
      <c r="L121">
        <f>650+466+105</f>
        <v>1221</v>
      </c>
      <c r="M121" s="23">
        <v>9</v>
      </c>
      <c r="AL121" s="17" t="s">
        <v>54</v>
      </c>
      <c r="AM121">
        <f>9+5</f>
        <v>14</v>
      </c>
    </row>
    <row r="122" spans="1:42" x14ac:dyDescent="0.35">
      <c r="A122" s="4">
        <v>320</v>
      </c>
      <c r="B122" s="4" t="s">
        <v>315</v>
      </c>
      <c r="C122" s="4" t="s">
        <v>99</v>
      </c>
      <c r="D122" s="4">
        <v>314</v>
      </c>
      <c r="L122">
        <v>312</v>
      </c>
      <c r="M122" s="23">
        <v>3</v>
      </c>
      <c r="AL122" s="17" t="s">
        <v>16</v>
      </c>
      <c r="AM122">
        <f>10+2</f>
        <v>12</v>
      </c>
    </row>
    <row r="123" spans="1:42" x14ac:dyDescent="0.35">
      <c r="A123" s="4">
        <v>321</v>
      </c>
      <c r="B123" s="4" t="s">
        <v>316</v>
      </c>
      <c r="C123" s="4" t="s">
        <v>141</v>
      </c>
      <c r="D123" s="4">
        <v>697</v>
      </c>
      <c r="L123">
        <f>561+125</f>
        <v>686</v>
      </c>
      <c r="M123" s="23">
        <v>11</v>
      </c>
    </row>
    <row r="124" spans="1:42" x14ac:dyDescent="0.35">
      <c r="A124" s="4">
        <v>322</v>
      </c>
      <c r="B124" s="4" t="s">
        <v>317</v>
      </c>
      <c r="C124" s="4" t="s">
        <v>17</v>
      </c>
      <c r="D124" s="4">
        <v>971</v>
      </c>
      <c r="L124">
        <f>126+811+35</f>
        <v>972</v>
      </c>
      <c r="M124" s="23">
        <v>5</v>
      </c>
    </row>
    <row r="125" spans="1:42" x14ac:dyDescent="0.35">
      <c r="A125" s="4">
        <v>323</v>
      </c>
      <c r="B125" s="4" t="s">
        <v>318</v>
      </c>
      <c r="C125" s="4" t="s">
        <v>25</v>
      </c>
      <c r="D125" s="4">
        <v>1236</v>
      </c>
      <c r="L125">
        <f>996+225</f>
        <v>1221</v>
      </c>
      <c r="M125" s="23">
        <v>13</v>
      </c>
    </row>
    <row r="126" spans="1:42" x14ac:dyDescent="0.35">
      <c r="A126" s="4">
        <v>324</v>
      </c>
      <c r="B126" s="4" t="s">
        <v>319</v>
      </c>
      <c r="C126" s="4" t="s">
        <v>320</v>
      </c>
      <c r="D126" s="4">
        <v>346</v>
      </c>
      <c r="L126">
        <f>321+25</f>
        <v>346</v>
      </c>
    </row>
    <row r="127" spans="1:42" x14ac:dyDescent="0.35">
      <c r="A127" s="4">
        <v>327</v>
      </c>
      <c r="B127" s="4" t="s">
        <v>321</v>
      </c>
      <c r="C127" s="4" t="s">
        <v>17</v>
      </c>
      <c r="D127" s="4">
        <v>403</v>
      </c>
      <c r="L127">
        <v>367</v>
      </c>
      <c r="M127" s="23">
        <f>10+20+6</f>
        <v>36</v>
      </c>
    </row>
    <row r="128" spans="1:42" x14ac:dyDescent="0.35">
      <c r="A128" s="4">
        <v>328</v>
      </c>
      <c r="B128" s="4" t="s">
        <v>322</v>
      </c>
      <c r="C128" s="4" t="s">
        <v>141</v>
      </c>
      <c r="D128" s="4">
        <v>268</v>
      </c>
      <c r="L128">
        <f>145+120</f>
        <v>265</v>
      </c>
      <c r="M128" s="23">
        <v>3</v>
      </c>
    </row>
    <row r="129" spans="1:13" x14ac:dyDescent="0.35">
      <c r="A129" s="4">
        <v>329</v>
      </c>
      <c r="B129" s="4" t="s">
        <v>323</v>
      </c>
      <c r="C129" s="4" t="s">
        <v>18</v>
      </c>
      <c r="D129" s="4">
        <v>354</v>
      </c>
      <c r="L129">
        <v>333</v>
      </c>
      <c r="M129" s="23">
        <f>15+6</f>
        <v>21</v>
      </c>
    </row>
    <row r="130" spans="1:13" x14ac:dyDescent="0.35">
      <c r="A130" s="29" t="s">
        <v>390</v>
      </c>
      <c r="B130" s="4"/>
      <c r="C130" s="4"/>
      <c r="D130" s="4"/>
    </row>
    <row r="131" spans="1:13" x14ac:dyDescent="0.35">
      <c r="A131" s="17">
        <v>343</v>
      </c>
      <c r="C131" s="17" t="s">
        <v>423</v>
      </c>
      <c r="M131" s="23">
        <f>193+62+60</f>
        <v>315</v>
      </c>
    </row>
  </sheetData>
  <sortState xmlns:xlrd2="http://schemas.microsoft.com/office/spreadsheetml/2017/richdata2" ref="AO2:AQ90">
    <sortCondition descending="1" ref="AQ2:AQ9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819EA-A512-43EB-AA5F-82F21E9BDA9A}">
  <dimension ref="A1:L158"/>
  <sheetViews>
    <sheetView workbookViewId="0">
      <selection activeCell="C5" sqref="C5"/>
    </sheetView>
  </sheetViews>
  <sheetFormatPr defaultRowHeight="14.5" x14ac:dyDescent="0.35"/>
  <cols>
    <col min="2" max="2" width="32" customWidth="1"/>
  </cols>
  <sheetData>
    <row r="1" spans="1:12" x14ac:dyDescent="0.35">
      <c r="A1" t="s">
        <v>505</v>
      </c>
      <c r="D1" s="34">
        <v>55</v>
      </c>
      <c r="E1" s="33">
        <v>56</v>
      </c>
      <c r="F1" s="36">
        <v>57</v>
      </c>
      <c r="G1" s="35">
        <v>58</v>
      </c>
      <c r="H1" s="34">
        <v>59</v>
      </c>
      <c r="I1" s="33">
        <v>60</v>
      </c>
      <c r="J1" s="32">
        <v>61</v>
      </c>
      <c r="K1" s="37" t="s">
        <v>0</v>
      </c>
    </row>
    <row r="2" spans="1:12" x14ac:dyDescent="0.35">
      <c r="A2" s="41">
        <v>47</v>
      </c>
      <c r="B2" s="41" t="s">
        <v>477</v>
      </c>
      <c r="C2" s="41"/>
      <c r="D2" s="42"/>
      <c r="E2" s="43"/>
      <c r="F2" s="44">
        <v>4494</v>
      </c>
      <c r="G2" s="45">
        <f>5650-4494</f>
        <v>1156</v>
      </c>
      <c r="H2" s="42">
        <v>563</v>
      </c>
      <c r="I2" s="43">
        <v>144</v>
      </c>
      <c r="J2" s="46">
        <v>84</v>
      </c>
      <c r="K2" s="47">
        <v>6441</v>
      </c>
      <c r="L2" s="41" t="s">
        <v>476</v>
      </c>
    </row>
    <row r="3" spans="1:12" x14ac:dyDescent="0.35">
      <c r="A3" s="41">
        <v>66</v>
      </c>
      <c r="B3" s="41" t="s">
        <v>453</v>
      </c>
      <c r="C3" s="41"/>
      <c r="D3" s="42"/>
      <c r="E3" s="43"/>
      <c r="F3" s="44"/>
      <c r="G3" s="45">
        <v>5171</v>
      </c>
      <c r="H3" s="42">
        <v>208</v>
      </c>
      <c r="I3" s="43">
        <v>19</v>
      </c>
      <c r="J3" s="46">
        <v>7</v>
      </c>
      <c r="K3" s="47">
        <v>5405</v>
      </c>
      <c r="L3" s="41" t="s">
        <v>469</v>
      </c>
    </row>
    <row r="4" spans="1:12" x14ac:dyDescent="0.35">
      <c r="A4" s="41">
        <v>102</v>
      </c>
      <c r="B4" s="41" t="s">
        <v>423</v>
      </c>
      <c r="C4" s="41"/>
      <c r="D4" s="42"/>
      <c r="E4" s="43"/>
      <c r="F4" s="44"/>
      <c r="G4" s="45"/>
      <c r="H4" s="42">
        <v>1900</v>
      </c>
      <c r="I4" s="43">
        <v>1080</v>
      </c>
      <c r="J4" s="46">
        <v>1541</v>
      </c>
      <c r="K4" s="47">
        <v>4521</v>
      </c>
      <c r="L4" s="41"/>
    </row>
    <row r="5" spans="1:12" x14ac:dyDescent="0.35">
      <c r="A5" s="41">
        <v>108</v>
      </c>
      <c r="B5" s="41" t="s">
        <v>423</v>
      </c>
      <c r="C5" s="41"/>
      <c r="D5" s="42"/>
      <c r="E5" s="43"/>
      <c r="F5" s="44"/>
      <c r="G5" s="45"/>
      <c r="H5" s="42"/>
      <c r="I5" s="43">
        <v>4279</v>
      </c>
      <c r="J5" s="46">
        <v>201</v>
      </c>
      <c r="K5" s="47">
        <v>4480</v>
      </c>
      <c r="L5" s="41"/>
    </row>
    <row r="6" spans="1:12" x14ac:dyDescent="0.35">
      <c r="A6" s="41">
        <v>30</v>
      </c>
      <c r="B6" s="41" t="s">
        <v>17</v>
      </c>
      <c r="C6" s="41"/>
      <c r="D6" s="42"/>
      <c r="E6" s="43">
        <v>2494</v>
      </c>
      <c r="F6" s="44">
        <v>1097</v>
      </c>
      <c r="G6" s="45">
        <v>346</v>
      </c>
      <c r="H6" s="42">
        <v>273</v>
      </c>
      <c r="I6" s="43">
        <v>95</v>
      </c>
      <c r="J6" s="46">
        <v>68</v>
      </c>
      <c r="K6" s="47">
        <v>4373</v>
      </c>
      <c r="L6" s="41" t="s">
        <v>489</v>
      </c>
    </row>
    <row r="7" spans="1:12" x14ac:dyDescent="0.35">
      <c r="A7" s="41">
        <v>42</v>
      </c>
      <c r="B7" s="41" t="s">
        <v>17</v>
      </c>
      <c r="C7" s="41"/>
      <c r="D7" s="42"/>
      <c r="E7" s="43">
        <v>1077</v>
      </c>
      <c r="F7" s="44">
        <v>2912</v>
      </c>
      <c r="G7" s="45">
        <v>135</v>
      </c>
      <c r="H7" s="42">
        <v>27</v>
      </c>
      <c r="I7" s="43">
        <v>39</v>
      </c>
      <c r="J7" s="46">
        <v>7</v>
      </c>
      <c r="K7" s="47">
        <v>4197</v>
      </c>
      <c r="L7" s="41" t="s">
        <v>480</v>
      </c>
    </row>
    <row r="8" spans="1:12" x14ac:dyDescent="0.35">
      <c r="A8" s="41">
        <v>37</v>
      </c>
      <c r="B8" s="41" t="s">
        <v>483</v>
      </c>
      <c r="C8" s="41"/>
      <c r="D8" s="42"/>
      <c r="E8" s="43">
        <v>947</v>
      </c>
      <c r="F8" s="44">
        <v>1212</v>
      </c>
      <c r="G8" s="45">
        <v>575</v>
      </c>
      <c r="H8" s="42">
        <v>445</v>
      </c>
      <c r="I8" s="43">
        <v>202</v>
      </c>
      <c r="J8" s="46">
        <v>162</v>
      </c>
      <c r="K8" s="47">
        <v>3543</v>
      </c>
      <c r="L8" s="41"/>
    </row>
    <row r="9" spans="1:12" x14ac:dyDescent="0.35">
      <c r="A9" s="41">
        <v>34</v>
      </c>
      <c r="B9" s="41" t="s">
        <v>485</v>
      </c>
      <c r="C9" s="41"/>
      <c r="D9" s="42"/>
      <c r="E9" s="43">
        <v>1796</v>
      </c>
      <c r="F9" s="44">
        <f>918+157+131</f>
        <v>1206</v>
      </c>
      <c r="G9" s="45">
        <v>140</v>
      </c>
      <c r="H9" s="42">
        <v>44</v>
      </c>
      <c r="I9" s="43">
        <v>36</v>
      </c>
      <c r="J9" s="46">
        <v>18</v>
      </c>
      <c r="K9" s="47">
        <v>3240</v>
      </c>
      <c r="L9" s="41" t="s">
        <v>484</v>
      </c>
    </row>
    <row r="10" spans="1:12" x14ac:dyDescent="0.35">
      <c r="A10" s="41">
        <v>100</v>
      </c>
      <c r="B10" s="41" t="s">
        <v>450</v>
      </c>
      <c r="C10" s="41"/>
      <c r="D10" s="42"/>
      <c r="E10" s="43"/>
      <c r="F10" s="44"/>
      <c r="G10" s="45"/>
      <c r="H10" s="42">
        <v>1588</v>
      </c>
      <c r="I10" s="43">
        <v>942</v>
      </c>
      <c r="J10" s="46">
        <v>517</v>
      </c>
      <c r="K10" s="47">
        <v>3047</v>
      </c>
      <c r="L10" s="41"/>
    </row>
    <row r="11" spans="1:12" x14ac:dyDescent="0.35">
      <c r="A11" s="41">
        <v>43</v>
      </c>
      <c r="B11" s="41" t="s">
        <v>18</v>
      </c>
      <c r="C11" s="41"/>
      <c r="D11" s="42"/>
      <c r="E11" s="43">
        <v>955</v>
      </c>
      <c r="F11" s="44">
        <f>2886-955</f>
        <v>1931</v>
      </c>
      <c r="G11" s="45">
        <v>50</v>
      </c>
      <c r="H11" s="42">
        <v>44</v>
      </c>
      <c r="I11" s="43">
        <v>37</v>
      </c>
      <c r="J11" s="46">
        <v>11</v>
      </c>
      <c r="K11" s="47">
        <v>3028</v>
      </c>
      <c r="L11" s="41" t="s">
        <v>479</v>
      </c>
    </row>
    <row r="12" spans="1:12" x14ac:dyDescent="0.35">
      <c r="A12">
        <v>32</v>
      </c>
      <c r="B12" t="s">
        <v>487</v>
      </c>
      <c r="D12" s="34"/>
      <c r="E12" s="33">
        <v>1008</v>
      </c>
      <c r="F12" s="36">
        <v>153</v>
      </c>
      <c r="G12" s="35">
        <v>466</v>
      </c>
      <c r="H12" s="34">
        <v>508</v>
      </c>
      <c r="I12" s="33">
        <v>215</v>
      </c>
      <c r="J12" s="32">
        <v>106</v>
      </c>
      <c r="K12" s="31">
        <f>SUM(E12:J12)</f>
        <v>2456</v>
      </c>
    </row>
    <row r="13" spans="1:12" x14ac:dyDescent="0.35">
      <c r="A13">
        <v>22</v>
      </c>
      <c r="B13" t="s">
        <v>494</v>
      </c>
      <c r="D13" s="34">
        <v>315</v>
      </c>
      <c r="E13" s="33">
        <v>1776</v>
      </c>
      <c r="F13" s="36">
        <v>304</v>
      </c>
      <c r="G13" s="35">
        <v>13</v>
      </c>
      <c r="H13" s="34">
        <v>6</v>
      </c>
      <c r="I13" s="33">
        <v>3</v>
      </c>
      <c r="J13" s="32">
        <v>0</v>
      </c>
      <c r="K13" s="31">
        <v>2417</v>
      </c>
      <c r="L13" t="s">
        <v>493</v>
      </c>
    </row>
    <row r="14" spans="1:12" x14ac:dyDescent="0.35">
      <c r="A14">
        <v>51</v>
      </c>
      <c r="B14" t="s">
        <v>18</v>
      </c>
      <c r="D14" s="34"/>
      <c r="E14" s="33"/>
      <c r="F14" s="36">
        <v>1765</v>
      </c>
      <c r="G14" s="35">
        <v>203</v>
      </c>
      <c r="H14" s="34">
        <v>73</v>
      </c>
      <c r="I14" s="33">
        <v>41</v>
      </c>
      <c r="J14" s="32">
        <v>2</v>
      </c>
      <c r="K14" s="31">
        <v>2084</v>
      </c>
    </row>
    <row r="15" spans="1:12" x14ac:dyDescent="0.35">
      <c r="A15">
        <v>39</v>
      </c>
      <c r="B15" t="s">
        <v>481</v>
      </c>
      <c r="D15" s="34"/>
      <c r="E15" s="33">
        <v>522</v>
      </c>
      <c r="F15" s="36">
        <v>375</v>
      </c>
      <c r="G15" s="35">
        <v>316</v>
      </c>
      <c r="H15" s="34">
        <v>297</v>
      </c>
      <c r="I15" s="33">
        <v>184</v>
      </c>
      <c r="J15" s="32">
        <v>139</v>
      </c>
      <c r="K15" s="31">
        <v>1833</v>
      </c>
    </row>
    <row r="16" spans="1:12" x14ac:dyDescent="0.35">
      <c r="A16">
        <v>14</v>
      </c>
      <c r="B16" t="s">
        <v>498</v>
      </c>
      <c r="D16" s="34">
        <v>205</v>
      </c>
      <c r="E16" s="33">
        <v>920</v>
      </c>
      <c r="F16" s="36">
        <v>311</v>
      </c>
      <c r="G16" s="35">
        <v>96</v>
      </c>
      <c r="H16" s="34">
        <v>41</v>
      </c>
      <c r="I16" s="33">
        <v>34</v>
      </c>
      <c r="J16" s="32">
        <v>7</v>
      </c>
      <c r="K16" s="31">
        <v>1614</v>
      </c>
    </row>
    <row r="17" spans="1:12" x14ac:dyDescent="0.35">
      <c r="A17">
        <v>21</v>
      </c>
      <c r="B17" t="s">
        <v>56</v>
      </c>
      <c r="D17" s="34">
        <v>195</v>
      </c>
      <c r="E17" s="33">
        <v>797</v>
      </c>
      <c r="F17" s="36">
        <v>439</v>
      </c>
      <c r="G17" s="35">
        <v>49</v>
      </c>
      <c r="H17" s="34">
        <v>35</v>
      </c>
      <c r="I17" s="33">
        <v>25</v>
      </c>
      <c r="J17" s="32"/>
      <c r="K17" s="31">
        <v>1540</v>
      </c>
    </row>
    <row r="18" spans="1:12" x14ac:dyDescent="0.35">
      <c r="A18">
        <v>44</v>
      </c>
      <c r="B18" t="s">
        <v>17</v>
      </c>
      <c r="D18" s="34"/>
      <c r="E18" s="33">
        <v>603</v>
      </c>
      <c r="F18" s="36">
        <f>501+60+89</f>
        <v>650</v>
      </c>
      <c r="G18" s="35">
        <v>62</v>
      </c>
      <c r="H18" s="34">
        <v>16</v>
      </c>
      <c r="I18" s="33">
        <v>3</v>
      </c>
      <c r="J18" s="32"/>
      <c r="K18" s="31">
        <v>1334</v>
      </c>
      <c r="L18" t="s">
        <v>478</v>
      </c>
    </row>
    <row r="19" spans="1:12" x14ac:dyDescent="0.35">
      <c r="A19">
        <v>58</v>
      </c>
      <c r="B19" t="s">
        <v>18</v>
      </c>
      <c r="D19" s="34"/>
      <c r="E19" s="33"/>
      <c r="F19" s="36">
        <v>969</v>
      </c>
      <c r="G19" s="35">
        <v>252</v>
      </c>
      <c r="H19" s="34">
        <v>35</v>
      </c>
      <c r="I19" s="33">
        <v>2</v>
      </c>
      <c r="J19" s="32"/>
      <c r="K19" s="31">
        <v>1258</v>
      </c>
    </row>
    <row r="20" spans="1:12" x14ac:dyDescent="0.35">
      <c r="A20">
        <v>9</v>
      </c>
      <c r="B20" t="s">
        <v>68</v>
      </c>
      <c r="D20" s="34">
        <v>225</v>
      </c>
      <c r="E20" s="33">
        <v>526</v>
      </c>
      <c r="F20" s="36">
        <v>267</v>
      </c>
      <c r="G20" s="35">
        <v>64</v>
      </c>
      <c r="H20" s="34">
        <v>54</v>
      </c>
      <c r="I20" s="33">
        <v>38</v>
      </c>
      <c r="J20" s="32">
        <v>36</v>
      </c>
      <c r="K20" s="31">
        <v>1210</v>
      </c>
    </row>
    <row r="21" spans="1:12" x14ac:dyDescent="0.35">
      <c r="A21">
        <v>12</v>
      </c>
      <c r="B21" t="s">
        <v>500</v>
      </c>
      <c r="D21" s="34">
        <v>228</v>
      </c>
      <c r="E21" s="33">
        <v>542</v>
      </c>
      <c r="F21" s="36">
        <f>192+21+46</f>
        <v>259</v>
      </c>
      <c r="G21" s="35">
        <v>46</v>
      </c>
      <c r="H21" s="34">
        <v>36</v>
      </c>
      <c r="I21" s="33">
        <v>18</v>
      </c>
      <c r="J21" s="32">
        <v>21</v>
      </c>
      <c r="K21" s="31">
        <v>1150</v>
      </c>
    </row>
    <row r="22" spans="1:12" x14ac:dyDescent="0.35">
      <c r="A22">
        <v>41</v>
      </c>
      <c r="B22" t="s">
        <v>56</v>
      </c>
      <c r="D22" s="34"/>
      <c r="E22" s="33">
        <v>256</v>
      </c>
      <c r="F22" s="36">
        <v>629</v>
      </c>
      <c r="G22" s="35">
        <v>51</v>
      </c>
      <c r="H22" s="34">
        <v>20</v>
      </c>
      <c r="I22" s="33">
        <v>18</v>
      </c>
      <c r="J22" s="32">
        <v>16</v>
      </c>
      <c r="K22" s="31">
        <v>990</v>
      </c>
    </row>
    <row r="23" spans="1:12" x14ac:dyDescent="0.35">
      <c r="A23">
        <v>31</v>
      </c>
      <c r="B23" t="s">
        <v>488</v>
      </c>
      <c r="D23" s="34"/>
      <c r="E23" s="33">
        <v>430</v>
      </c>
      <c r="F23" s="36">
        <v>338</v>
      </c>
      <c r="G23" s="35">
        <v>93</v>
      </c>
      <c r="H23" s="34">
        <v>53</v>
      </c>
      <c r="I23" s="33">
        <v>11</v>
      </c>
      <c r="J23" s="32">
        <v>2</v>
      </c>
      <c r="K23" s="31">
        <v>927</v>
      </c>
    </row>
    <row r="24" spans="1:12" x14ac:dyDescent="0.35">
      <c r="A24">
        <v>55</v>
      </c>
      <c r="B24" t="s">
        <v>17</v>
      </c>
      <c r="D24" s="34"/>
      <c r="E24" s="33"/>
      <c r="F24" s="36">
        <v>749</v>
      </c>
      <c r="G24" s="35">
        <v>153</v>
      </c>
      <c r="H24" s="34">
        <v>18</v>
      </c>
      <c r="I24" s="33"/>
      <c r="J24" s="32"/>
      <c r="K24" s="31">
        <v>920</v>
      </c>
    </row>
    <row r="25" spans="1:12" x14ac:dyDescent="0.35">
      <c r="A25">
        <v>10</v>
      </c>
      <c r="B25" t="s">
        <v>68</v>
      </c>
      <c r="D25" s="34"/>
      <c r="E25" s="33">
        <v>497</v>
      </c>
      <c r="F25" s="36">
        <v>229</v>
      </c>
      <c r="G25" s="35">
        <v>85</v>
      </c>
      <c r="H25" s="34">
        <v>43</v>
      </c>
      <c r="I25" s="33">
        <v>25</v>
      </c>
      <c r="J25" s="32">
        <v>29</v>
      </c>
      <c r="K25" s="31">
        <v>908</v>
      </c>
    </row>
    <row r="26" spans="1:12" x14ac:dyDescent="0.35">
      <c r="A26">
        <v>48</v>
      </c>
      <c r="B26" t="s">
        <v>475</v>
      </c>
      <c r="D26" s="34"/>
      <c r="E26" s="33"/>
      <c r="F26" s="36">
        <v>742</v>
      </c>
      <c r="G26" s="35">
        <v>31</v>
      </c>
      <c r="H26" s="34">
        <v>12</v>
      </c>
      <c r="I26" s="33"/>
      <c r="J26" s="32">
        <v>6</v>
      </c>
      <c r="K26" s="31">
        <v>791</v>
      </c>
    </row>
    <row r="27" spans="1:12" x14ac:dyDescent="0.35">
      <c r="A27">
        <v>40</v>
      </c>
      <c r="B27" t="s">
        <v>68</v>
      </c>
      <c r="D27" s="34"/>
      <c r="E27" s="33">
        <v>352</v>
      </c>
      <c r="F27" s="36">
        <v>392</v>
      </c>
      <c r="G27" s="35">
        <v>26</v>
      </c>
      <c r="H27" s="34">
        <v>4</v>
      </c>
      <c r="I27" s="33">
        <v>3</v>
      </c>
      <c r="J27" s="32">
        <v>1</v>
      </c>
      <c r="K27" s="31">
        <v>778</v>
      </c>
    </row>
    <row r="28" spans="1:12" x14ac:dyDescent="0.35">
      <c r="A28">
        <v>16</v>
      </c>
      <c r="B28" t="s">
        <v>54</v>
      </c>
      <c r="D28" s="34"/>
      <c r="E28" s="33">
        <v>522</v>
      </c>
      <c r="F28" s="36">
        <v>176</v>
      </c>
      <c r="G28" s="35">
        <v>39</v>
      </c>
      <c r="H28" s="34">
        <v>12</v>
      </c>
      <c r="I28" s="33">
        <v>4</v>
      </c>
      <c r="J28" s="32">
        <v>3</v>
      </c>
      <c r="K28" s="31">
        <v>756</v>
      </c>
    </row>
    <row r="29" spans="1:12" x14ac:dyDescent="0.35">
      <c r="A29">
        <v>15</v>
      </c>
      <c r="B29" t="s">
        <v>497</v>
      </c>
      <c r="D29" s="34"/>
      <c r="E29" s="33">
        <v>533</v>
      </c>
      <c r="F29" s="36">
        <v>133</v>
      </c>
      <c r="G29" s="35">
        <v>10</v>
      </c>
      <c r="H29" s="34">
        <v>17</v>
      </c>
      <c r="I29" s="33">
        <v>2</v>
      </c>
      <c r="J29" s="32">
        <v>1</v>
      </c>
      <c r="K29" s="31">
        <v>696</v>
      </c>
    </row>
    <row r="30" spans="1:12" x14ac:dyDescent="0.35">
      <c r="A30">
        <v>53</v>
      </c>
      <c r="B30" t="s">
        <v>116</v>
      </c>
      <c r="D30" s="34"/>
      <c r="E30" s="33"/>
      <c r="F30" s="36">
        <v>549</v>
      </c>
      <c r="G30" s="35">
        <v>96</v>
      </c>
      <c r="H30" s="34">
        <v>35</v>
      </c>
      <c r="I30" s="33">
        <v>3</v>
      </c>
      <c r="J30" s="32"/>
      <c r="K30" s="31">
        <v>683</v>
      </c>
    </row>
    <row r="31" spans="1:12" x14ac:dyDescent="0.35">
      <c r="A31">
        <v>33</v>
      </c>
      <c r="B31" t="s">
        <v>486</v>
      </c>
      <c r="D31" s="34"/>
      <c r="E31" s="33">
        <v>309</v>
      </c>
      <c r="F31" s="36">
        <v>164</v>
      </c>
      <c r="G31" s="35">
        <v>62</v>
      </c>
      <c r="H31" s="34">
        <v>56</v>
      </c>
      <c r="I31" s="33">
        <v>50</v>
      </c>
      <c r="J31" s="32">
        <v>26</v>
      </c>
      <c r="K31" s="31">
        <v>667</v>
      </c>
    </row>
    <row r="32" spans="1:12" x14ac:dyDescent="0.35">
      <c r="A32">
        <v>24</v>
      </c>
      <c r="B32" t="s">
        <v>99</v>
      </c>
      <c r="D32" s="34"/>
      <c r="E32" s="33">
        <v>222</v>
      </c>
      <c r="F32" s="36">
        <v>342</v>
      </c>
      <c r="G32" s="35">
        <v>31</v>
      </c>
      <c r="H32" s="34">
        <v>37</v>
      </c>
      <c r="I32" s="33">
        <v>11</v>
      </c>
      <c r="J32" s="32">
        <v>13</v>
      </c>
      <c r="K32" s="31">
        <v>656</v>
      </c>
    </row>
    <row r="33" spans="1:11" x14ac:dyDescent="0.35">
      <c r="A33">
        <v>23</v>
      </c>
      <c r="B33" t="s">
        <v>78</v>
      </c>
      <c r="D33" s="34"/>
      <c r="E33" s="33">
        <v>465</v>
      </c>
      <c r="F33" s="36">
        <v>119</v>
      </c>
      <c r="G33" s="35">
        <v>21</v>
      </c>
      <c r="H33" s="34">
        <v>12</v>
      </c>
      <c r="I33" s="33">
        <v>9</v>
      </c>
      <c r="J33" s="32"/>
      <c r="K33" s="31">
        <v>626</v>
      </c>
    </row>
    <row r="34" spans="1:11" x14ac:dyDescent="0.35">
      <c r="A34">
        <v>11</v>
      </c>
      <c r="B34" t="s">
        <v>501</v>
      </c>
      <c r="D34" s="34">
        <v>196</v>
      </c>
      <c r="E34" s="33">
        <v>292</v>
      </c>
      <c r="F34" s="36">
        <f>34+15+15</f>
        <v>64</v>
      </c>
      <c r="G34" s="35">
        <v>37</v>
      </c>
      <c r="H34" s="34"/>
      <c r="I34" s="33"/>
      <c r="J34" s="32"/>
      <c r="K34" s="31">
        <v>589</v>
      </c>
    </row>
    <row r="35" spans="1:11" x14ac:dyDescent="0.35">
      <c r="A35">
        <v>56</v>
      </c>
      <c r="B35" t="s">
        <v>473</v>
      </c>
      <c r="D35" s="34"/>
      <c r="E35" s="33"/>
      <c r="F35" s="36"/>
      <c r="G35" s="35"/>
      <c r="H35" s="34">
        <v>330</v>
      </c>
      <c r="I35" s="33">
        <v>164</v>
      </c>
      <c r="J35" s="32">
        <v>65</v>
      </c>
      <c r="K35" s="31">
        <v>559</v>
      </c>
    </row>
    <row r="36" spans="1:11" x14ac:dyDescent="0.35">
      <c r="A36">
        <v>13</v>
      </c>
      <c r="B36" t="s">
        <v>499</v>
      </c>
      <c r="D36" s="34">
        <v>176</v>
      </c>
      <c r="E36" s="33">
        <v>274</v>
      </c>
      <c r="F36" s="36">
        <v>103</v>
      </c>
      <c r="G36" s="35">
        <v>10</v>
      </c>
      <c r="H36" s="34">
        <v>15</v>
      </c>
      <c r="I36" s="33">
        <v>9</v>
      </c>
      <c r="J36" s="32">
        <v>1</v>
      </c>
      <c r="K36" s="31">
        <v>558</v>
      </c>
    </row>
    <row r="37" spans="1:11" x14ac:dyDescent="0.35">
      <c r="A37">
        <v>45</v>
      </c>
      <c r="B37" t="s">
        <v>99</v>
      </c>
      <c r="D37" s="34"/>
      <c r="E37" s="33"/>
      <c r="F37" s="36">
        <v>334</v>
      </c>
      <c r="G37" s="35">
        <v>62</v>
      </c>
      <c r="H37" s="34">
        <v>64</v>
      </c>
      <c r="I37" s="33">
        <v>41</v>
      </c>
      <c r="J37" s="32">
        <v>40</v>
      </c>
      <c r="K37" s="31">
        <v>541</v>
      </c>
    </row>
    <row r="38" spans="1:11" x14ac:dyDescent="0.35">
      <c r="A38">
        <v>54</v>
      </c>
      <c r="B38" t="s">
        <v>474</v>
      </c>
      <c r="D38" s="34"/>
      <c r="E38" s="33"/>
      <c r="F38" s="36">
        <v>368</v>
      </c>
      <c r="G38" s="35">
        <v>122</v>
      </c>
      <c r="H38" s="34">
        <v>20</v>
      </c>
      <c r="I38" s="33">
        <v>24</v>
      </c>
      <c r="J38" s="32">
        <v>7</v>
      </c>
      <c r="K38" s="31">
        <v>541</v>
      </c>
    </row>
    <row r="39" spans="1:11" x14ac:dyDescent="0.35">
      <c r="A39">
        <v>27</v>
      </c>
      <c r="B39" t="s">
        <v>491</v>
      </c>
      <c r="D39" s="34"/>
      <c r="E39" s="33">
        <v>292</v>
      </c>
      <c r="F39" s="36">
        <v>130</v>
      </c>
      <c r="G39" s="35">
        <v>26</v>
      </c>
      <c r="H39" s="34">
        <v>27</v>
      </c>
      <c r="I39" s="33">
        <v>13</v>
      </c>
      <c r="J39" s="32">
        <v>4</v>
      </c>
      <c r="K39" s="31">
        <v>492</v>
      </c>
    </row>
    <row r="40" spans="1:11" x14ac:dyDescent="0.35">
      <c r="A40">
        <v>49</v>
      </c>
      <c r="B40" t="s">
        <v>68</v>
      </c>
      <c r="D40" s="34"/>
      <c r="E40" s="33"/>
      <c r="F40" s="36">
        <v>310</v>
      </c>
      <c r="G40" s="35">
        <v>87</v>
      </c>
      <c r="H40" s="34">
        <v>35</v>
      </c>
      <c r="I40" s="33">
        <v>14</v>
      </c>
      <c r="J40" s="32">
        <v>16</v>
      </c>
      <c r="K40" s="31">
        <v>462</v>
      </c>
    </row>
    <row r="41" spans="1:11" x14ac:dyDescent="0.35">
      <c r="A41">
        <v>20</v>
      </c>
      <c r="B41" t="s">
        <v>495</v>
      </c>
      <c r="D41" s="34"/>
      <c r="E41" s="33">
        <v>384</v>
      </c>
      <c r="F41" s="36">
        <f>54+5+6</f>
        <v>65</v>
      </c>
      <c r="G41" s="35">
        <v>8</v>
      </c>
      <c r="H41" s="34">
        <v>2</v>
      </c>
      <c r="I41" s="33"/>
      <c r="J41" s="32"/>
      <c r="K41" s="31">
        <v>459</v>
      </c>
    </row>
    <row r="42" spans="1:11" x14ac:dyDescent="0.35">
      <c r="A42">
        <v>35</v>
      </c>
      <c r="B42" t="s">
        <v>54</v>
      </c>
      <c r="D42" s="34"/>
      <c r="E42" s="33">
        <v>341</v>
      </c>
      <c r="F42" s="36">
        <v>108</v>
      </c>
      <c r="G42" s="35"/>
      <c r="H42" s="34">
        <v>2</v>
      </c>
      <c r="I42" s="33">
        <v>3</v>
      </c>
      <c r="J42" s="32"/>
      <c r="K42" s="31">
        <v>454</v>
      </c>
    </row>
    <row r="43" spans="1:11" x14ac:dyDescent="0.35">
      <c r="A43">
        <v>36</v>
      </c>
      <c r="B43" t="s">
        <v>78</v>
      </c>
      <c r="D43" s="34"/>
      <c r="E43" s="33">
        <v>237</v>
      </c>
      <c r="F43" s="36">
        <f>80+25+26</f>
        <v>131</v>
      </c>
      <c r="G43" s="35">
        <v>43</v>
      </c>
      <c r="H43" s="34">
        <v>17</v>
      </c>
      <c r="I43" s="33">
        <v>21</v>
      </c>
      <c r="J43" s="32">
        <v>1</v>
      </c>
      <c r="K43" s="31">
        <v>450</v>
      </c>
    </row>
    <row r="44" spans="1:11" x14ac:dyDescent="0.35">
      <c r="A44">
        <v>28</v>
      </c>
      <c r="B44" t="s">
        <v>490</v>
      </c>
      <c r="D44" s="34"/>
      <c r="E44" s="33">
        <v>362</v>
      </c>
      <c r="F44" s="36">
        <v>67</v>
      </c>
      <c r="G44" s="35">
        <v>1</v>
      </c>
      <c r="H44" s="34">
        <v>10</v>
      </c>
      <c r="I44" s="33"/>
      <c r="J44" s="32"/>
      <c r="K44" s="31">
        <v>440</v>
      </c>
    </row>
    <row r="45" spans="1:11" x14ac:dyDescent="0.35">
      <c r="A45">
        <v>26</v>
      </c>
      <c r="B45" t="s">
        <v>492</v>
      </c>
      <c r="D45" s="34"/>
      <c r="E45" s="33">
        <v>302</v>
      </c>
      <c r="F45" s="36">
        <v>95</v>
      </c>
      <c r="G45" s="35">
        <v>17</v>
      </c>
      <c r="H45" s="34">
        <v>6</v>
      </c>
      <c r="I45" s="33"/>
      <c r="J45" s="32"/>
      <c r="K45" s="31">
        <v>420</v>
      </c>
    </row>
    <row r="46" spans="1:11" x14ac:dyDescent="0.35">
      <c r="A46">
        <v>17</v>
      </c>
      <c r="B46" t="s">
        <v>496</v>
      </c>
      <c r="D46" s="34"/>
      <c r="E46" s="33">
        <v>260</v>
      </c>
      <c r="F46" s="36">
        <v>77</v>
      </c>
      <c r="G46" s="35">
        <v>33</v>
      </c>
      <c r="H46" s="34">
        <v>13</v>
      </c>
      <c r="I46" s="33">
        <v>7</v>
      </c>
      <c r="J46" s="32">
        <v>15</v>
      </c>
      <c r="K46" s="31">
        <v>405</v>
      </c>
    </row>
    <row r="47" spans="1:11" x14ac:dyDescent="0.35">
      <c r="A47">
        <v>19</v>
      </c>
      <c r="B47" t="s">
        <v>16</v>
      </c>
      <c r="D47" s="34"/>
      <c r="E47" s="33">
        <v>342</v>
      </c>
      <c r="F47" s="36">
        <f>33+8</f>
        <v>41</v>
      </c>
      <c r="G47" s="35">
        <v>8</v>
      </c>
      <c r="H47" s="34">
        <v>2</v>
      </c>
      <c r="I47" s="33"/>
      <c r="J47" s="32"/>
      <c r="K47" s="31">
        <v>393</v>
      </c>
    </row>
    <row r="48" spans="1:11" x14ac:dyDescent="0.35">
      <c r="A48">
        <v>38</v>
      </c>
      <c r="B48" t="s">
        <v>482</v>
      </c>
      <c r="D48" s="34"/>
      <c r="E48" s="33">
        <v>120</v>
      </c>
      <c r="F48" s="36">
        <v>163</v>
      </c>
      <c r="G48" s="35">
        <v>45</v>
      </c>
      <c r="H48" s="34">
        <v>13</v>
      </c>
      <c r="I48" s="33">
        <v>10</v>
      </c>
      <c r="J48" s="32"/>
      <c r="K48" s="31">
        <v>351</v>
      </c>
    </row>
    <row r="49" spans="1:11" x14ac:dyDescent="0.35">
      <c r="A49">
        <v>29</v>
      </c>
      <c r="B49" t="s">
        <v>386</v>
      </c>
      <c r="D49" s="34"/>
      <c r="E49" s="33">
        <v>309</v>
      </c>
      <c r="F49" s="36">
        <v>51</v>
      </c>
      <c r="G49" s="35">
        <v>3</v>
      </c>
      <c r="H49" s="34">
        <v>11</v>
      </c>
      <c r="I49" s="33">
        <v>3</v>
      </c>
      <c r="J49" s="32"/>
      <c r="K49" s="31">
        <v>337</v>
      </c>
    </row>
    <row r="50" spans="1:11" x14ac:dyDescent="0.35">
      <c r="A50">
        <v>3</v>
      </c>
      <c r="B50" t="s">
        <v>58</v>
      </c>
      <c r="D50" s="34">
        <v>135</v>
      </c>
      <c r="E50" s="33">
        <v>116</v>
      </c>
      <c r="F50" s="36">
        <v>46</v>
      </c>
      <c r="G50" s="35">
        <v>8</v>
      </c>
      <c r="H50" s="34">
        <v>13</v>
      </c>
      <c r="I50" s="33">
        <v>5</v>
      </c>
      <c r="J50" s="32">
        <v>8</v>
      </c>
      <c r="K50" s="31">
        <v>331</v>
      </c>
    </row>
    <row r="51" spans="1:11" x14ac:dyDescent="0.35">
      <c r="A51">
        <v>2</v>
      </c>
      <c r="B51" t="s">
        <v>45</v>
      </c>
      <c r="D51" s="34">
        <v>129</v>
      </c>
      <c r="E51" s="33">
        <v>96</v>
      </c>
      <c r="F51" s="36">
        <v>49</v>
      </c>
      <c r="G51" s="35">
        <v>19</v>
      </c>
      <c r="H51" s="34">
        <v>11</v>
      </c>
      <c r="I51" s="33"/>
      <c r="J51" s="32"/>
      <c r="K51" s="31">
        <v>304</v>
      </c>
    </row>
    <row r="52" spans="1:11" x14ac:dyDescent="0.35">
      <c r="A52">
        <v>18</v>
      </c>
      <c r="B52" t="s">
        <v>366</v>
      </c>
      <c r="D52" s="34">
        <v>122</v>
      </c>
      <c r="E52" s="33">
        <v>93</v>
      </c>
      <c r="F52" s="36">
        <v>67</v>
      </c>
      <c r="G52" s="35"/>
      <c r="H52" s="34"/>
      <c r="I52" s="33"/>
      <c r="J52" s="32"/>
      <c r="K52" s="31">
        <v>282</v>
      </c>
    </row>
    <row r="53" spans="1:11" x14ac:dyDescent="0.35">
      <c r="A53">
        <v>6</v>
      </c>
      <c r="B53" t="s">
        <v>502</v>
      </c>
      <c r="D53" s="34">
        <v>145</v>
      </c>
      <c r="E53" s="33">
        <v>82</v>
      </c>
      <c r="F53" s="36">
        <v>30</v>
      </c>
      <c r="G53" s="35">
        <v>13</v>
      </c>
      <c r="H53" s="34">
        <v>7</v>
      </c>
      <c r="I53" s="33">
        <v>1</v>
      </c>
      <c r="J53" s="32">
        <v>2</v>
      </c>
      <c r="K53" s="31">
        <v>280</v>
      </c>
    </row>
    <row r="54" spans="1:11" x14ac:dyDescent="0.35">
      <c r="A54">
        <v>57</v>
      </c>
      <c r="B54" t="s">
        <v>472</v>
      </c>
      <c r="D54" s="34"/>
      <c r="E54" s="33"/>
      <c r="F54" s="36"/>
      <c r="G54" s="35"/>
      <c r="H54" s="34">
        <v>206</v>
      </c>
      <c r="I54" s="33">
        <v>35</v>
      </c>
      <c r="J54" s="32">
        <v>34</v>
      </c>
      <c r="K54" s="31">
        <f>SUM(H54:J54)</f>
        <v>275</v>
      </c>
    </row>
    <row r="55" spans="1:11" x14ac:dyDescent="0.35">
      <c r="A55">
        <v>50</v>
      </c>
      <c r="B55" t="s">
        <v>81</v>
      </c>
      <c r="D55" s="34"/>
      <c r="E55" s="33"/>
      <c r="F55" s="36">
        <v>230</v>
      </c>
      <c r="G55" s="35">
        <v>19</v>
      </c>
      <c r="H55" s="34">
        <v>5</v>
      </c>
      <c r="I55" s="33">
        <v>8</v>
      </c>
      <c r="J55" s="32">
        <v>3</v>
      </c>
      <c r="K55" s="31">
        <v>265</v>
      </c>
    </row>
    <row r="56" spans="1:11" x14ac:dyDescent="0.35">
      <c r="A56">
        <v>52</v>
      </c>
      <c r="B56" t="s">
        <v>78</v>
      </c>
      <c r="D56" s="34"/>
      <c r="E56" s="33"/>
      <c r="F56" s="36">
        <v>236</v>
      </c>
      <c r="G56" s="35">
        <v>43</v>
      </c>
      <c r="H56" s="34">
        <v>17</v>
      </c>
      <c r="I56" s="33">
        <v>3</v>
      </c>
      <c r="J56" s="32"/>
      <c r="K56" s="31">
        <v>229</v>
      </c>
    </row>
    <row r="57" spans="1:11" x14ac:dyDescent="0.35">
      <c r="A57">
        <v>25</v>
      </c>
      <c r="B57" t="s">
        <v>45</v>
      </c>
      <c r="D57" s="34"/>
      <c r="E57" s="33">
        <v>226</v>
      </c>
      <c r="F57" s="36">
        <v>41</v>
      </c>
      <c r="G57" s="35"/>
      <c r="H57" s="34">
        <v>6</v>
      </c>
      <c r="I57" s="33">
        <v>4</v>
      </c>
      <c r="J57" s="32"/>
      <c r="K57" s="31">
        <v>227</v>
      </c>
    </row>
    <row r="58" spans="1:11" x14ac:dyDescent="0.35">
      <c r="A58">
        <v>46</v>
      </c>
      <c r="B58" t="s">
        <v>99</v>
      </c>
      <c r="D58" s="34"/>
      <c r="E58" s="33"/>
      <c r="F58" s="36">
        <v>185</v>
      </c>
      <c r="G58" s="35">
        <v>22</v>
      </c>
      <c r="H58" s="34">
        <v>6</v>
      </c>
      <c r="I58" s="33">
        <v>6</v>
      </c>
      <c r="J58" s="32">
        <v>6</v>
      </c>
      <c r="K58" s="31">
        <v>225</v>
      </c>
    </row>
    <row r="59" spans="1:11" x14ac:dyDescent="0.35">
      <c r="A59">
        <v>8</v>
      </c>
      <c r="B59" t="s">
        <v>103</v>
      </c>
      <c r="D59" s="34">
        <v>123</v>
      </c>
      <c r="E59" s="33">
        <v>60</v>
      </c>
      <c r="F59" s="36">
        <v>5</v>
      </c>
      <c r="G59" s="35">
        <v>6</v>
      </c>
      <c r="H59" s="34">
        <v>11</v>
      </c>
      <c r="I59" s="33">
        <v>4</v>
      </c>
      <c r="J59" s="32">
        <v>6</v>
      </c>
      <c r="K59" s="31">
        <v>215</v>
      </c>
    </row>
    <row r="60" spans="1:11" x14ac:dyDescent="0.35">
      <c r="A60">
        <v>4</v>
      </c>
      <c r="B60" t="s">
        <v>503</v>
      </c>
      <c r="D60" s="34">
        <v>124</v>
      </c>
      <c r="E60" s="33">
        <v>37</v>
      </c>
      <c r="F60" s="36">
        <v>32</v>
      </c>
      <c r="G60" s="35">
        <v>7</v>
      </c>
      <c r="H60" s="34">
        <v>3</v>
      </c>
      <c r="I60" s="33">
        <v>2</v>
      </c>
      <c r="J60" s="32">
        <v>2</v>
      </c>
      <c r="K60" s="31">
        <v>207</v>
      </c>
    </row>
    <row r="61" spans="1:11" x14ac:dyDescent="0.35">
      <c r="A61">
        <v>1</v>
      </c>
      <c r="B61" t="s">
        <v>504</v>
      </c>
      <c r="D61" s="34">
        <v>98</v>
      </c>
      <c r="E61" s="33">
        <v>45</v>
      </c>
      <c r="F61" s="36">
        <v>16</v>
      </c>
      <c r="G61" s="35">
        <v>8</v>
      </c>
      <c r="H61" s="34">
        <v>7</v>
      </c>
      <c r="I61" s="33">
        <v>4</v>
      </c>
      <c r="J61" s="32">
        <v>2</v>
      </c>
      <c r="K61" s="31">
        <v>180</v>
      </c>
    </row>
    <row r="62" spans="1:11" x14ac:dyDescent="0.35">
      <c r="A62">
        <v>7</v>
      </c>
      <c r="B62" t="s">
        <v>103</v>
      </c>
      <c r="D62" s="34"/>
      <c r="E62" s="33"/>
      <c r="F62" s="36">
        <v>31</v>
      </c>
      <c r="G62" s="35"/>
      <c r="H62" s="34">
        <v>11</v>
      </c>
      <c r="I62" s="33">
        <v>2</v>
      </c>
      <c r="J62" s="32">
        <v>6</v>
      </c>
      <c r="K62" s="31">
        <v>50</v>
      </c>
    </row>
    <row r="63" spans="1:11" x14ac:dyDescent="0.35">
      <c r="A63">
        <v>5</v>
      </c>
      <c r="B63" t="s">
        <v>58</v>
      </c>
      <c r="C63">
        <v>31</v>
      </c>
      <c r="D63" s="34">
        <v>4</v>
      </c>
      <c r="E63" s="33">
        <v>3</v>
      </c>
      <c r="F63" s="36">
        <v>6</v>
      </c>
      <c r="G63" s="35"/>
      <c r="H63" s="34"/>
      <c r="I63" s="33"/>
      <c r="J63" s="32"/>
      <c r="K63" s="31">
        <v>44</v>
      </c>
    </row>
    <row r="64" spans="1:11" x14ac:dyDescent="0.35">
      <c r="A64">
        <v>59</v>
      </c>
      <c r="B64" t="s">
        <v>99</v>
      </c>
      <c r="D64" s="34"/>
      <c r="E64" s="33"/>
      <c r="F64" s="36">
        <v>286</v>
      </c>
      <c r="G64" s="35">
        <v>380</v>
      </c>
      <c r="H64" s="34">
        <v>206</v>
      </c>
      <c r="I64" s="33">
        <v>90</v>
      </c>
      <c r="J64" s="32">
        <v>10</v>
      </c>
      <c r="K64" s="31"/>
    </row>
    <row r="65" spans="1:12" x14ac:dyDescent="0.35">
      <c r="A65">
        <v>60</v>
      </c>
      <c r="B65" t="s">
        <v>99</v>
      </c>
      <c r="D65" s="34"/>
      <c r="E65" s="33"/>
      <c r="F65" s="36"/>
      <c r="G65" s="35">
        <v>485</v>
      </c>
      <c r="H65" s="34">
        <v>348</v>
      </c>
      <c r="I65" s="33">
        <v>151</v>
      </c>
      <c r="J65" s="32">
        <v>121</v>
      </c>
      <c r="K65" s="31"/>
    </row>
    <row r="66" spans="1:12" x14ac:dyDescent="0.35">
      <c r="A66">
        <v>61</v>
      </c>
      <c r="B66" t="s">
        <v>471</v>
      </c>
      <c r="D66" s="34"/>
      <c r="E66" s="33"/>
      <c r="F66" s="36">
        <v>1351</v>
      </c>
      <c r="G66" s="35">
        <v>430</v>
      </c>
      <c r="H66" s="34">
        <v>30</v>
      </c>
      <c r="I66" s="33">
        <v>8</v>
      </c>
      <c r="J66" s="32">
        <v>5</v>
      </c>
      <c r="K66" s="31"/>
    </row>
    <row r="67" spans="1:12" x14ac:dyDescent="0.35">
      <c r="A67">
        <v>62</v>
      </c>
      <c r="B67" t="s">
        <v>68</v>
      </c>
      <c r="D67" s="34"/>
      <c r="E67" s="33"/>
      <c r="F67" s="36">
        <v>478</v>
      </c>
      <c r="G67" s="35">
        <v>454</v>
      </c>
      <c r="H67" s="34">
        <v>126</v>
      </c>
      <c r="I67" s="33">
        <v>46</v>
      </c>
      <c r="J67" s="32">
        <v>22</v>
      </c>
      <c r="K67" s="31"/>
    </row>
    <row r="68" spans="1:12" x14ac:dyDescent="0.35">
      <c r="A68">
        <v>63</v>
      </c>
      <c r="B68" t="s">
        <v>464</v>
      </c>
      <c r="D68" s="34"/>
      <c r="E68" s="33"/>
      <c r="F68" s="36">
        <v>667</v>
      </c>
      <c r="G68" s="35">
        <v>431</v>
      </c>
      <c r="H68" s="34">
        <v>126</v>
      </c>
      <c r="I68" s="33">
        <v>46</v>
      </c>
      <c r="J68" s="32">
        <v>22</v>
      </c>
      <c r="K68" s="31"/>
    </row>
    <row r="69" spans="1:12" x14ac:dyDescent="0.35">
      <c r="A69">
        <v>64</v>
      </c>
      <c r="B69" t="s">
        <v>470</v>
      </c>
      <c r="D69" s="34"/>
      <c r="E69" s="33"/>
      <c r="F69" s="36">
        <v>1010</v>
      </c>
      <c r="G69" s="35">
        <v>618</v>
      </c>
      <c r="H69" s="34">
        <v>835</v>
      </c>
      <c r="I69" s="33">
        <v>463</v>
      </c>
      <c r="J69" s="32">
        <v>319</v>
      </c>
      <c r="K69" s="31"/>
    </row>
    <row r="70" spans="1:12" x14ac:dyDescent="0.35">
      <c r="A70">
        <v>65</v>
      </c>
      <c r="B70" t="s">
        <v>68</v>
      </c>
      <c r="D70" s="34"/>
      <c r="E70" s="33"/>
      <c r="F70" s="36">
        <v>259</v>
      </c>
      <c r="G70" s="35">
        <v>402</v>
      </c>
      <c r="H70" s="34">
        <v>174</v>
      </c>
      <c r="I70" s="33">
        <v>71</v>
      </c>
      <c r="J70" s="32">
        <v>76</v>
      </c>
      <c r="K70" s="31"/>
    </row>
    <row r="71" spans="1:12" x14ac:dyDescent="0.35">
      <c r="A71">
        <v>67</v>
      </c>
      <c r="B71" t="s">
        <v>468</v>
      </c>
      <c r="D71" s="34"/>
      <c r="E71" s="33"/>
      <c r="F71" s="36"/>
      <c r="G71" s="35">
        <v>129</v>
      </c>
      <c r="H71" s="34">
        <v>14</v>
      </c>
      <c r="I71" s="33">
        <v>3</v>
      </c>
      <c r="J71" s="32"/>
      <c r="K71" s="31"/>
    </row>
    <row r="72" spans="1:12" x14ac:dyDescent="0.35">
      <c r="A72">
        <v>68</v>
      </c>
      <c r="B72" t="s">
        <v>432</v>
      </c>
      <c r="D72" s="34"/>
      <c r="E72" s="33"/>
      <c r="F72" s="36"/>
      <c r="G72" s="35">
        <v>1124</v>
      </c>
      <c r="H72" s="34">
        <v>49</v>
      </c>
      <c r="I72" s="33">
        <v>5</v>
      </c>
      <c r="J72" s="32">
        <v>3</v>
      </c>
      <c r="K72" s="31"/>
    </row>
    <row r="73" spans="1:12" x14ac:dyDescent="0.35">
      <c r="A73">
        <v>69</v>
      </c>
      <c r="B73" t="s">
        <v>467</v>
      </c>
      <c r="D73" s="34"/>
      <c r="E73" s="33"/>
      <c r="F73" s="36"/>
      <c r="G73" s="35">
        <v>240</v>
      </c>
      <c r="H73" s="34">
        <v>17</v>
      </c>
      <c r="I73" s="33"/>
      <c r="J73" s="32"/>
      <c r="K73" s="31"/>
    </row>
    <row r="74" spans="1:12" x14ac:dyDescent="0.35">
      <c r="A74">
        <v>70</v>
      </c>
      <c r="B74" t="s">
        <v>17</v>
      </c>
      <c r="D74" s="34"/>
      <c r="E74" s="33"/>
      <c r="F74" s="36"/>
      <c r="G74" s="35">
        <v>4642</v>
      </c>
      <c r="H74" s="34">
        <v>555</v>
      </c>
      <c r="I74" s="33">
        <v>86</v>
      </c>
      <c r="J74" s="32">
        <v>20</v>
      </c>
      <c r="K74" s="31"/>
      <c r="L74" t="s">
        <v>466</v>
      </c>
    </row>
    <row r="75" spans="1:12" x14ac:dyDescent="0.35">
      <c r="A75">
        <v>71</v>
      </c>
      <c r="B75" t="s">
        <v>464</v>
      </c>
      <c r="D75" s="34"/>
      <c r="E75" s="33"/>
      <c r="F75" s="36"/>
      <c r="G75" s="35">
        <v>1248</v>
      </c>
      <c r="H75" s="34">
        <v>104</v>
      </c>
      <c r="I75" s="33">
        <v>16</v>
      </c>
      <c r="J75" s="32">
        <v>5</v>
      </c>
      <c r="K75" s="31"/>
    </row>
    <row r="76" spans="1:12" x14ac:dyDescent="0.35">
      <c r="A76">
        <v>72</v>
      </c>
      <c r="B76" t="s">
        <v>465</v>
      </c>
      <c r="D76" s="34"/>
      <c r="E76" s="33"/>
      <c r="F76" s="36"/>
      <c r="G76" s="35">
        <v>2367</v>
      </c>
      <c r="H76" s="34">
        <v>318</v>
      </c>
      <c r="I76" s="33">
        <v>30</v>
      </c>
      <c r="J76" s="32">
        <v>13</v>
      </c>
      <c r="K76" s="31"/>
    </row>
    <row r="77" spans="1:12" x14ac:dyDescent="0.35">
      <c r="A77">
        <v>73</v>
      </c>
      <c r="B77" t="s">
        <v>122</v>
      </c>
      <c r="D77" s="34"/>
      <c r="E77" s="33"/>
      <c r="F77" s="36"/>
      <c r="G77" s="35">
        <v>706</v>
      </c>
      <c r="H77" s="34">
        <v>149</v>
      </c>
      <c r="I77" s="33">
        <v>9</v>
      </c>
      <c r="J77" s="32">
        <v>9</v>
      </c>
      <c r="K77" s="31"/>
    </row>
    <row r="78" spans="1:12" x14ac:dyDescent="0.35">
      <c r="A78">
        <v>74</v>
      </c>
      <c r="B78" t="s">
        <v>68</v>
      </c>
      <c r="D78" s="34"/>
      <c r="E78" s="33"/>
      <c r="F78" s="36"/>
      <c r="G78" s="35">
        <v>218</v>
      </c>
      <c r="H78" s="34">
        <v>82</v>
      </c>
      <c r="I78" s="33">
        <v>25</v>
      </c>
      <c r="J78" s="32">
        <v>21</v>
      </c>
      <c r="K78" s="31"/>
    </row>
    <row r="79" spans="1:12" x14ac:dyDescent="0.35">
      <c r="A79">
        <v>75</v>
      </c>
      <c r="B79" t="s">
        <v>22</v>
      </c>
      <c r="D79" s="34"/>
      <c r="E79" s="33"/>
      <c r="F79" s="36"/>
      <c r="G79" s="35">
        <v>1038</v>
      </c>
      <c r="H79" s="34">
        <v>130</v>
      </c>
      <c r="I79" s="33"/>
      <c r="J79" s="32"/>
      <c r="K79" s="31"/>
    </row>
    <row r="80" spans="1:12" x14ac:dyDescent="0.35">
      <c r="A80">
        <v>76</v>
      </c>
      <c r="B80" t="s">
        <v>25</v>
      </c>
      <c r="D80" s="34"/>
      <c r="E80" s="33"/>
      <c r="F80" s="36"/>
      <c r="G80" s="35">
        <v>1281</v>
      </c>
      <c r="H80" s="34">
        <v>853</v>
      </c>
      <c r="I80" s="33">
        <v>40</v>
      </c>
      <c r="J80" s="32"/>
      <c r="K80" s="31"/>
    </row>
    <row r="81" spans="1:11" x14ac:dyDescent="0.35">
      <c r="A81">
        <v>77</v>
      </c>
      <c r="B81" t="s">
        <v>464</v>
      </c>
      <c r="D81" s="34"/>
      <c r="E81" s="33"/>
      <c r="F81" s="36"/>
      <c r="G81" s="35">
        <v>348</v>
      </c>
      <c r="H81" s="34">
        <v>298</v>
      </c>
      <c r="I81" s="33">
        <v>0</v>
      </c>
      <c r="J81" s="32">
        <v>2</v>
      </c>
      <c r="K81" s="31"/>
    </row>
    <row r="82" spans="1:11" x14ac:dyDescent="0.35">
      <c r="A82">
        <v>78</v>
      </c>
      <c r="B82" t="s">
        <v>463</v>
      </c>
      <c r="D82" s="34"/>
      <c r="E82" s="33"/>
      <c r="F82" s="36"/>
      <c r="G82" s="35">
        <v>1065</v>
      </c>
      <c r="H82" s="34">
        <v>697</v>
      </c>
      <c r="I82" s="33">
        <v>176</v>
      </c>
      <c r="J82" s="32">
        <v>188</v>
      </c>
      <c r="K82" s="31"/>
    </row>
    <row r="83" spans="1:11" x14ac:dyDescent="0.35">
      <c r="A83">
        <v>79</v>
      </c>
      <c r="B83" t="s">
        <v>17</v>
      </c>
      <c r="D83" s="34"/>
      <c r="E83" s="33"/>
      <c r="F83" s="36"/>
      <c r="G83" s="35">
        <v>232</v>
      </c>
      <c r="H83" s="34">
        <v>953</v>
      </c>
      <c r="I83" s="33">
        <v>60</v>
      </c>
      <c r="J83" s="32">
        <v>13</v>
      </c>
      <c r="K83" s="31"/>
    </row>
    <row r="84" spans="1:11" x14ac:dyDescent="0.35">
      <c r="A84">
        <v>80</v>
      </c>
      <c r="B84" t="s">
        <v>22</v>
      </c>
      <c r="D84" s="34"/>
      <c r="E84" s="33"/>
      <c r="F84" s="36"/>
      <c r="G84" s="35">
        <v>195</v>
      </c>
      <c r="H84" s="34">
        <v>666</v>
      </c>
      <c r="I84" s="33">
        <v>6</v>
      </c>
      <c r="J84" s="32">
        <v>2</v>
      </c>
      <c r="K84" s="31"/>
    </row>
    <row r="85" spans="1:11" x14ac:dyDescent="0.35">
      <c r="A85">
        <v>81</v>
      </c>
      <c r="B85" t="s">
        <v>462</v>
      </c>
      <c r="D85" s="34"/>
      <c r="E85" s="33"/>
      <c r="F85" s="36"/>
      <c r="G85" s="35">
        <v>314</v>
      </c>
      <c r="H85" s="34">
        <v>152</v>
      </c>
      <c r="I85" s="33">
        <v>5</v>
      </c>
      <c r="J85" s="32">
        <v>3</v>
      </c>
      <c r="K85" s="31"/>
    </row>
    <row r="86" spans="1:11" x14ac:dyDescent="0.35">
      <c r="A86">
        <v>82</v>
      </c>
      <c r="B86" t="s">
        <v>461</v>
      </c>
      <c r="D86" s="34"/>
      <c r="E86" s="33"/>
      <c r="F86" s="36"/>
      <c r="G86" s="35">
        <v>82</v>
      </c>
      <c r="H86" s="34">
        <v>39</v>
      </c>
      <c r="I86" s="33">
        <v>6</v>
      </c>
      <c r="J86" s="32">
        <v>6</v>
      </c>
      <c r="K86" s="31"/>
    </row>
    <row r="87" spans="1:11" x14ac:dyDescent="0.35">
      <c r="A87">
        <v>83</v>
      </c>
      <c r="B87" t="s">
        <v>25</v>
      </c>
      <c r="D87" s="34"/>
      <c r="E87" s="33"/>
      <c r="F87" s="36"/>
      <c r="G87" s="35"/>
      <c r="H87" s="34">
        <v>761</v>
      </c>
      <c r="I87" s="33">
        <v>9</v>
      </c>
      <c r="J87" s="32">
        <v>2</v>
      </c>
      <c r="K87" s="31"/>
    </row>
    <row r="88" spans="1:11" x14ac:dyDescent="0.35">
      <c r="A88">
        <v>84</v>
      </c>
      <c r="B88" t="s">
        <v>460</v>
      </c>
      <c r="D88" s="34"/>
      <c r="E88" s="33"/>
      <c r="F88" s="36"/>
      <c r="G88" s="35">
        <v>282</v>
      </c>
      <c r="H88" s="34">
        <v>157</v>
      </c>
      <c r="I88" s="33">
        <v>73</v>
      </c>
      <c r="J88" s="32">
        <v>57</v>
      </c>
      <c r="K88" s="31"/>
    </row>
    <row r="89" spans="1:11" x14ac:dyDescent="0.35">
      <c r="A89">
        <v>85</v>
      </c>
      <c r="B89" t="s">
        <v>432</v>
      </c>
      <c r="D89" s="34"/>
      <c r="E89" s="33"/>
      <c r="F89" s="36"/>
      <c r="G89" s="35">
        <v>278</v>
      </c>
      <c r="H89" s="34">
        <v>263</v>
      </c>
      <c r="I89" s="33"/>
      <c r="J89" s="32"/>
      <c r="K89" s="31"/>
    </row>
    <row r="90" spans="1:11" x14ac:dyDescent="0.35">
      <c r="A90">
        <v>86</v>
      </c>
      <c r="B90" t="s">
        <v>459</v>
      </c>
      <c r="D90" s="34"/>
      <c r="E90" s="33"/>
      <c r="F90" s="36"/>
      <c r="G90" s="35"/>
      <c r="H90" s="34">
        <v>656</v>
      </c>
      <c r="I90" s="33">
        <v>97</v>
      </c>
      <c r="J90" s="32">
        <v>32</v>
      </c>
      <c r="K90" s="31"/>
    </row>
    <row r="91" spans="1:11" x14ac:dyDescent="0.35">
      <c r="A91">
        <v>87</v>
      </c>
      <c r="B91" t="s">
        <v>458</v>
      </c>
      <c r="D91" s="34"/>
      <c r="E91" s="33"/>
      <c r="F91" s="36"/>
      <c r="G91" s="35"/>
      <c r="H91" s="34">
        <v>662</v>
      </c>
      <c r="I91" s="33">
        <v>137</v>
      </c>
      <c r="J91" s="32">
        <v>62</v>
      </c>
      <c r="K91" s="31"/>
    </row>
    <row r="92" spans="1:11" x14ac:dyDescent="0.35">
      <c r="A92">
        <v>88</v>
      </c>
      <c r="B92" t="s">
        <v>457</v>
      </c>
      <c r="D92" s="34"/>
      <c r="E92" s="33"/>
      <c r="F92" s="36"/>
      <c r="G92" s="35"/>
      <c r="H92" s="34">
        <v>179</v>
      </c>
      <c r="I92" s="33">
        <v>120</v>
      </c>
      <c r="J92" s="32">
        <v>102</v>
      </c>
      <c r="K92" s="31"/>
    </row>
    <row r="93" spans="1:11" x14ac:dyDescent="0.35">
      <c r="A93">
        <v>89</v>
      </c>
      <c r="B93" t="s">
        <v>456</v>
      </c>
      <c r="D93" s="34"/>
      <c r="E93" s="33"/>
      <c r="F93" s="36"/>
      <c r="G93" s="35"/>
      <c r="H93" s="34">
        <v>224</v>
      </c>
      <c r="I93" s="33">
        <v>75</v>
      </c>
      <c r="J93" s="32">
        <v>49</v>
      </c>
      <c r="K93" s="31"/>
    </row>
    <row r="94" spans="1:11" x14ac:dyDescent="0.35">
      <c r="A94">
        <v>90</v>
      </c>
      <c r="B94" t="s">
        <v>18</v>
      </c>
      <c r="D94" s="34"/>
      <c r="E94" s="33"/>
      <c r="F94" s="36"/>
      <c r="G94" s="35"/>
      <c r="H94" s="34">
        <v>3009</v>
      </c>
      <c r="I94" s="33">
        <v>165</v>
      </c>
      <c r="J94" s="32">
        <v>29</v>
      </c>
      <c r="K94" s="31"/>
    </row>
    <row r="95" spans="1:11" x14ac:dyDescent="0.35">
      <c r="A95">
        <v>91</v>
      </c>
      <c r="B95" t="s">
        <v>141</v>
      </c>
      <c r="D95" s="34"/>
      <c r="E95" s="33"/>
      <c r="F95" s="36"/>
      <c r="G95" s="35"/>
      <c r="H95" s="34">
        <v>1129</v>
      </c>
      <c r="I95" s="33">
        <v>67</v>
      </c>
      <c r="J95" s="32">
        <v>15</v>
      </c>
      <c r="K95" s="31"/>
    </row>
    <row r="96" spans="1:11" x14ac:dyDescent="0.35">
      <c r="A96">
        <v>92</v>
      </c>
      <c r="B96" t="s">
        <v>68</v>
      </c>
      <c r="D96" s="34"/>
      <c r="E96" s="33"/>
      <c r="F96" s="36"/>
      <c r="G96" s="35"/>
      <c r="H96" s="34">
        <v>568</v>
      </c>
      <c r="I96" s="33">
        <v>152</v>
      </c>
      <c r="J96" s="32">
        <v>72</v>
      </c>
      <c r="K96" s="31"/>
    </row>
    <row r="97" spans="1:11" x14ac:dyDescent="0.35">
      <c r="A97">
        <v>93</v>
      </c>
      <c r="B97" t="s">
        <v>455</v>
      </c>
      <c r="D97" s="34"/>
      <c r="E97" s="33"/>
      <c r="F97" s="36"/>
      <c r="G97" s="35"/>
      <c r="H97" s="34">
        <v>1655</v>
      </c>
      <c r="I97" s="33">
        <v>83</v>
      </c>
      <c r="J97" s="32">
        <v>13</v>
      </c>
      <c r="K97" s="31"/>
    </row>
    <row r="98" spans="1:11" x14ac:dyDescent="0.35">
      <c r="A98">
        <v>94</v>
      </c>
      <c r="B98" t="s">
        <v>454</v>
      </c>
      <c r="D98" s="34"/>
      <c r="E98" s="33"/>
      <c r="F98" s="36"/>
      <c r="G98" s="35"/>
      <c r="H98" s="34">
        <v>294</v>
      </c>
      <c r="I98" s="33">
        <v>322</v>
      </c>
      <c r="J98" s="32">
        <v>281</v>
      </c>
      <c r="K98" s="31"/>
    </row>
    <row r="99" spans="1:11" x14ac:dyDescent="0.35">
      <c r="A99">
        <v>95</v>
      </c>
      <c r="B99" t="s">
        <v>432</v>
      </c>
      <c r="D99" s="34"/>
      <c r="E99" s="33"/>
      <c r="F99" s="36"/>
      <c r="G99" s="35"/>
      <c r="H99" s="34">
        <v>1165</v>
      </c>
      <c r="I99" s="33">
        <v>57</v>
      </c>
      <c r="J99" s="32">
        <v>8</v>
      </c>
      <c r="K99" s="31"/>
    </row>
    <row r="100" spans="1:11" x14ac:dyDescent="0.35">
      <c r="A100">
        <v>96</v>
      </c>
      <c r="B100" t="s">
        <v>453</v>
      </c>
      <c r="D100" s="34"/>
      <c r="E100" s="33"/>
      <c r="F100" s="36"/>
      <c r="G100" s="35"/>
      <c r="H100" s="34">
        <v>592</v>
      </c>
      <c r="I100" s="33">
        <v>31</v>
      </c>
      <c r="J100" s="32">
        <v>4</v>
      </c>
      <c r="K100" s="31"/>
    </row>
    <row r="101" spans="1:11" x14ac:dyDescent="0.35">
      <c r="A101">
        <v>97</v>
      </c>
      <c r="B101" t="s">
        <v>141</v>
      </c>
      <c r="D101" s="34"/>
      <c r="E101" s="33"/>
      <c r="F101" s="36"/>
      <c r="G101" s="35"/>
      <c r="H101" s="34">
        <v>1131</v>
      </c>
      <c r="I101" s="33">
        <v>165</v>
      </c>
      <c r="J101" s="32">
        <v>54</v>
      </c>
      <c r="K101" s="31"/>
    </row>
    <row r="102" spans="1:11" x14ac:dyDescent="0.35">
      <c r="A102">
        <v>98</v>
      </c>
      <c r="B102" t="s">
        <v>452</v>
      </c>
      <c r="D102" s="34"/>
      <c r="E102" s="33"/>
      <c r="F102" s="36"/>
      <c r="G102" s="35"/>
      <c r="H102" s="34">
        <v>1401</v>
      </c>
      <c r="I102" s="33">
        <v>120</v>
      </c>
      <c r="J102" s="32">
        <v>25</v>
      </c>
      <c r="K102" s="31"/>
    </row>
    <row r="103" spans="1:11" x14ac:dyDescent="0.35">
      <c r="A103">
        <v>99</v>
      </c>
      <c r="B103" t="s">
        <v>451</v>
      </c>
      <c r="D103" s="34"/>
      <c r="E103" s="33"/>
      <c r="F103" s="36"/>
      <c r="G103" s="35"/>
      <c r="H103" s="34">
        <v>518</v>
      </c>
      <c r="I103" s="33">
        <v>92</v>
      </c>
      <c r="J103" s="32">
        <v>11</v>
      </c>
      <c r="K103" s="31"/>
    </row>
    <row r="104" spans="1:11" x14ac:dyDescent="0.35">
      <c r="A104">
        <v>101</v>
      </c>
      <c r="B104" t="s">
        <v>449</v>
      </c>
      <c r="D104" s="34"/>
      <c r="E104" s="33"/>
      <c r="F104" s="36"/>
      <c r="G104" s="35"/>
      <c r="H104" s="34">
        <v>543</v>
      </c>
      <c r="I104" s="33">
        <v>266</v>
      </c>
      <c r="J104" s="32">
        <v>31</v>
      </c>
      <c r="K104" s="31"/>
    </row>
    <row r="105" spans="1:11" x14ac:dyDescent="0.35">
      <c r="A105">
        <v>103</v>
      </c>
      <c r="B105" t="s">
        <v>431</v>
      </c>
      <c r="D105" s="34"/>
      <c r="E105" s="33"/>
      <c r="F105" s="36"/>
      <c r="G105" s="35"/>
      <c r="H105" s="34">
        <v>308</v>
      </c>
      <c r="I105" s="33">
        <v>160</v>
      </c>
      <c r="J105" s="32">
        <v>22</v>
      </c>
      <c r="K105" s="31"/>
    </row>
    <row r="106" spans="1:11" x14ac:dyDescent="0.35">
      <c r="A106">
        <v>104</v>
      </c>
      <c r="B106" t="s">
        <v>99</v>
      </c>
      <c r="D106" s="34"/>
      <c r="E106" s="33"/>
      <c r="F106" s="36"/>
      <c r="G106" s="35"/>
      <c r="H106" s="34"/>
      <c r="I106" s="33">
        <v>201</v>
      </c>
      <c r="J106" s="32">
        <v>81</v>
      </c>
      <c r="K106" s="31"/>
    </row>
    <row r="107" spans="1:11" x14ac:dyDescent="0.35">
      <c r="A107">
        <v>105</v>
      </c>
      <c r="B107" t="s">
        <v>431</v>
      </c>
      <c r="D107" s="34"/>
      <c r="E107" s="33"/>
      <c r="F107" s="36"/>
      <c r="G107" s="35"/>
      <c r="H107" s="34"/>
      <c r="I107" s="33">
        <v>425</v>
      </c>
      <c r="J107" s="32">
        <v>357</v>
      </c>
      <c r="K107" s="31"/>
    </row>
    <row r="108" spans="1:11" x14ac:dyDescent="0.35">
      <c r="A108">
        <v>106</v>
      </c>
      <c r="B108" t="s">
        <v>448</v>
      </c>
      <c r="D108" s="34"/>
      <c r="E108" s="33"/>
      <c r="F108" s="36"/>
      <c r="G108" s="35"/>
      <c r="H108" s="34"/>
      <c r="I108" s="33">
        <v>677</v>
      </c>
      <c r="J108" s="32">
        <v>21</v>
      </c>
      <c r="K108" s="31"/>
    </row>
    <row r="109" spans="1:11" x14ac:dyDescent="0.35">
      <c r="A109">
        <v>107</v>
      </c>
      <c r="B109" t="s">
        <v>141</v>
      </c>
      <c r="D109" s="34"/>
      <c r="E109" s="33"/>
      <c r="F109" s="36"/>
      <c r="G109" s="35"/>
      <c r="H109" s="34"/>
      <c r="I109" s="33">
        <v>392</v>
      </c>
      <c r="J109" s="32">
        <v>36</v>
      </c>
      <c r="K109" s="31"/>
    </row>
    <row r="110" spans="1:11" x14ac:dyDescent="0.35">
      <c r="A110">
        <v>109</v>
      </c>
      <c r="B110" t="s">
        <v>447</v>
      </c>
      <c r="D110" s="34"/>
      <c r="E110" s="33"/>
      <c r="F110" s="36"/>
      <c r="G110" s="35"/>
      <c r="H110" s="34"/>
      <c r="I110" s="33">
        <v>480</v>
      </c>
      <c r="J110" s="32">
        <v>44</v>
      </c>
      <c r="K110" s="31"/>
    </row>
    <row r="111" spans="1:11" x14ac:dyDescent="0.35">
      <c r="A111">
        <v>110</v>
      </c>
      <c r="B111" t="s">
        <v>446</v>
      </c>
      <c r="D111" s="34"/>
      <c r="E111" s="33"/>
      <c r="F111" s="36"/>
      <c r="G111" s="35"/>
      <c r="H111" s="34"/>
      <c r="I111" s="33">
        <v>1987</v>
      </c>
      <c r="J111" s="32">
        <v>470</v>
      </c>
      <c r="K111" s="31"/>
    </row>
    <row r="112" spans="1:11" x14ac:dyDescent="0.35">
      <c r="A112">
        <v>111</v>
      </c>
      <c r="B112" t="s">
        <v>431</v>
      </c>
      <c r="D112" s="34"/>
      <c r="E112" s="33"/>
      <c r="F112" s="36"/>
      <c r="G112" s="35"/>
      <c r="H112" s="34"/>
      <c r="I112" s="33">
        <v>1608</v>
      </c>
      <c r="J112" s="32">
        <v>50</v>
      </c>
      <c r="K112" s="31"/>
    </row>
    <row r="113" spans="1:11" x14ac:dyDescent="0.35">
      <c r="A113">
        <v>112</v>
      </c>
      <c r="B113" t="s">
        <v>432</v>
      </c>
      <c r="D113" s="34"/>
      <c r="E113" s="33"/>
      <c r="F113" s="36"/>
      <c r="G113" s="35"/>
      <c r="H113" s="34"/>
      <c r="I113" s="33">
        <v>389</v>
      </c>
      <c r="J113" s="32">
        <v>21</v>
      </c>
      <c r="K113" s="31"/>
    </row>
    <row r="114" spans="1:11" x14ac:dyDescent="0.35">
      <c r="A114">
        <v>113</v>
      </c>
      <c r="B114" t="s">
        <v>17</v>
      </c>
      <c r="D114" s="34"/>
      <c r="E114" s="33"/>
      <c r="F114" s="36"/>
      <c r="G114" s="35"/>
      <c r="H114" s="34"/>
      <c r="I114" s="33">
        <v>225</v>
      </c>
      <c r="J114" s="32">
        <v>9</v>
      </c>
      <c r="K114" s="31"/>
    </row>
    <row r="115" spans="1:11" x14ac:dyDescent="0.35">
      <c r="A115">
        <v>114</v>
      </c>
      <c r="B115" t="s">
        <v>445</v>
      </c>
      <c r="D115" s="34"/>
      <c r="E115" s="33"/>
      <c r="F115" s="36"/>
      <c r="G115" s="35"/>
      <c r="H115" s="34"/>
      <c r="I115" s="33">
        <v>132</v>
      </c>
      <c r="J115" s="32">
        <v>3</v>
      </c>
      <c r="K115" s="31"/>
    </row>
    <row r="116" spans="1:11" x14ac:dyDescent="0.35">
      <c r="A116">
        <v>115</v>
      </c>
      <c r="B116" t="s">
        <v>444</v>
      </c>
      <c r="D116" s="34"/>
      <c r="E116" s="33"/>
      <c r="F116" s="36"/>
      <c r="G116" s="35"/>
      <c r="H116" s="34"/>
      <c r="I116" s="33">
        <v>901</v>
      </c>
      <c r="J116" s="32">
        <v>15</v>
      </c>
      <c r="K116" s="31"/>
    </row>
    <row r="117" spans="1:11" x14ac:dyDescent="0.35">
      <c r="A117">
        <v>116</v>
      </c>
      <c r="B117" t="s">
        <v>423</v>
      </c>
      <c r="D117" s="34"/>
      <c r="E117" s="33"/>
      <c r="F117" s="36"/>
      <c r="G117" s="35"/>
      <c r="H117" s="34"/>
      <c r="I117" s="33">
        <v>2295</v>
      </c>
      <c r="J117" s="32">
        <v>690</v>
      </c>
      <c r="K117" s="31"/>
    </row>
    <row r="118" spans="1:11" x14ac:dyDescent="0.35">
      <c r="A118">
        <v>117</v>
      </c>
      <c r="B118" t="s">
        <v>141</v>
      </c>
      <c r="D118" s="34"/>
      <c r="E118" s="33"/>
      <c r="F118" s="36"/>
      <c r="G118" s="35"/>
      <c r="H118" s="34"/>
      <c r="I118" s="33">
        <v>387</v>
      </c>
      <c r="J118" s="32">
        <v>30</v>
      </c>
      <c r="K118" s="31"/>
    </row>
    <row r="119" spans="1:11" x14ac:dyDescent="0.35">
      <c r="A119">
        <v>118</v>
      </c>
      <c r="B119" t="s">
        <v>443</v>
      </c>
      <c r="D119" s="34"/>
      <c r="E119" s="33"/>
      <c r="F119" s="36"/>
      <c r="G119" s="35"/>
      <c r="H119" s="34"/>
      <c r="I119" s="33">
        <v>756</v>
      </c>
      <c r="J119" s="32">
        <v>147</v>
      </c>
      <c r="K119" s="31"/>
    </row>
    <row r="120" spans="1:11" x14ac:dyDescent="0.35">
      <c r="A120">
        <v>119</v>
      </c>
      <c r="B120" t="s">
        <v>17</v>
      </c>
      <c r="D120" s="34"/>
      <c r="E120" s="33"/>
      <c r="F120" s="36"/>
      <c r="G120" s="35"/>
      <c r="H120" s="34"/>
      <c r="I120" s="33">
        <v>1169</v>
      </c>
      <c r="J120" s="32">
        <v>218</v>
      </c>
      <c r="K120" s="31"/>
    </row>
    <row r="121" spans="1:11" x14ac:dyDescent="0.35">
      <c r="A121">
        <v>120</v>
      </c>
      <c r="B121" t="s">
        <v>432</v>
      </c>
      <c r="D121" s="34"/>
      <c r="E121" s="33"/>
      <c r="F121" s="36"/>
      <c r="G121" s="35"/>
      <c r="H121" s="34"/>
      <c r="I121" s="33">
        <v>963</v>
      </c>
      <c r="J121" s="32">
        <v>49</v>
      </c>
      <c r="K121" s="31"/>
    </row>
    <row r="122" spans="1:11" x14ac:dyDescent="0.35">
      <c r="A122">
        <v>121</v>
      </c>
      <c r="B122" t="s">
        <v>442</v>
      </c>
      <c r="D122" s="34"/>
      <c r="E122" s="33"/>
      <c r="F122" s="36"/>
      <c r="G122" s="35"/>
      <c r="H122" s="34"/>
      <c r="I122" s="33">
        <v>275</v>
      </c>
      <c r="J122" s="32">
        <v>129</v>
      </c>
      <c r="K122" s="31"/>
    </row>
    <row r="123" spans="1:11" x14ac:dyDescent="0.35">
      <c r="A123">
        <v>122</v>
      </c>
      <c r="B123" t="s">
        <v>441</v>
      </c>
      <c r="D123" s="34"/>
      <c r="E123" s="33"/>
      <c r="F123" s="36"/>
      <c r="G123" s="35"/>
      <c r="H123" s="34"/>
      <c r="I123" s="33">
        <v>2526</v>
      </c>
      <c r="J123" s="32">
        <v>1332</v>
      </c>
      <c r="K123" s="31"/>
    </row>
    <row r="124" spans="1:11" x14ac:dyDescent="0.35">
      <c r="A124">
        <v>123</v>
      </c>
      <c r="B124" t="s">
        <v>99</v>
      </c>
      <c r="D124" s="34"/>
      <c r="E124" s="33"/>
      <c r="F124" s="36"/>
      <c r="G124" s="35"/>
      <c r="H124" s="34"/>
      <c r="I124" s="33">
        <v>189</v>
      </c>
      <c r="J124" s="32">
        <v>114</v>
      </c>
      <c r="K124" s="31"/>
    </row>
    <row r="125" spans="1:11" x14ac:dyDescent="0.35">
      <c r="A125">
        <v>124</v>
      </c>
      <c r="B125" t="s">
        <v>18</v>
      </c>
      <c r="D125" s="34"/>
      <c r="E125" s="33"/>
      <c r="F125" s="36"/>
      <c r="G125" s="35"/>
      <c r="H125" s="34"/>
      <c r="I125" s="33">
        <v>844</v>
      </c>
      <c r="J125" s="32">
        <v>69</v>
      </c>
      <c r="K125" s="31"/>
    </row>
    <row r="126" spans="1:11" x14ac:dyDescent="0.35">
      <c r="A126">
        <v>125</v>
      </c>
      <c r="B126" t="s">
        <v>432</v>
      </c>
      <c r="D126" s="34"/>
      <c r="E126" s="33"/>
      <c r="F126" s="36"/>
      <c r="G126" s="35"/>
      <c r="H126" s="34"/>
      <c r="I126" s="33"/>
      <c r="J126" s="32"/>
      <c r="K126" s="31"/>
    </row>
    <row r="127" spans="1:11" x14ac:dyDescent="0.35">
      <c r="A127">
        <v>126</v>
      </c>
      <c r="B127" t="s">
        <v>438</v>
      </c>
      <c r="D127" s="34"/>
      <c r="E127" s="33"/>
      <c r="F127" s="36"/>
      <c r="G127" s="35"/>
      <c r="H127" s="34"/>
      <c r="I127" s="33">
        <v>930</v>
      </c>
      <c r="J127" s="32">
        <v>502</v>
      </c>
      <c r="K127" s="31"/>
    </row>
    <row r="128" spans="1:11" x14ac:dyDescent="0.35">
      <c r="A128">
        <v>127</v>
      </c>
      <c r="B128" t="s">
        <v>432</v>
      </c>
      <c r="D128" s="34"/>
      <c r="E128" s="33"/>
      <c r="F128" s="36"/>
      <c r="G128" s="35"/>
      <c r="H128" s="34"/>
      <c r="I128" s="33">
        <v>1055</v>
      </c>
      <c r="J128" s="32">
        <v>199</v>
      </c>
      <c r="K128" s="31"/>
    </row>
    <row r="129" spans="1:11" x14ac:dyDescent="0.35">
      <c r="A129">
        <v>128</v>
      </c>
      <c r="B129" t="s">
        <v>431</v>
      </c>
      <c r="D129" s="34"/>
      <c r="E129" s="33"/>
      <c r="F129" s="36"/>
      <c r="G129" s="35"/>
      <c r="H129" s="34"/>
      <c r="I129" s="33">
        <v>289</v>
      </c>
      <c r="J129" s="32">
        <v>75</v>
      </c>
      <c r="K129" s="31"/>
    </row>
    <row r="130" spans="1:11" x14ac:dyDescent="0.35">
      <c r="A130">
        <v>129</v>
      </c>
      <c r="B130" t="s">
        <v>440</v>
      </c>
      <c r="D130" s="34"/>
      <c r="E130" s="33"/>
      <c r="F130" s="36"/>
      <c r="G130" s="35"/>
      <c r="H130" s="34"/>
      <c r="I130" s="33">
        <v>877</v>
      </c>
      <c r="J130" s="32">
        <v>147</v>
      </c>
      <c r="K130" s="31"/>
    </row>
    <row r="131" spans="1:11" x14ac:dyDescent="0.35">
      <c r="A131">
        <v>130</v>
      </c>
      <c r="B131" t="s">
        <v>17</v>
      </c>
      <c r="D131" s="34"/>
      <c r="E131" s="33"/>
      <c r="F131" s="36"/>
      <c r="G131" s="35"/>
      <c r="H131" s="34"/>
      <c r="I131" s="33">
        <v>374</v>
      </c>
      <c r="J131" s="32">
        <v>245</v>
      </c>
      <c r="K131" s="31"/>
    </row>
    <row r="132" spans="1:11" x14ac:dyDescent="0.35">
      <c r="A132">
        <v>131</v>
      </c>
      <c r="B132" t="s">
        <v>439</v>
      </c>
      <c r="D132" s="34"/>
      <c r="E132" s="33"/>
      <c r="F132" s="36"/>
      <c r="G132" s="35"/>
      <c r="H132" s="34"/>
      <c r="I132" s="33">
        <v>712</v>
      </c>
      <c r="J132" s="32">
        <v>527</v>
      </c>
      <c r="K132" s="31"/>
    </row>
    <row r="133" spans="1:11" x14ac:dyDescent="0.35">
      <c r="A133">
        <v>132</v>
      </c>
      <c r="B133" t="s">
        <v>122</v>
      </c>
      <c r="D133" s="34"/>
      <c r="E133" s="33"/>
      <c r="F133" s="36"/>
      <c r="G133" s="35"/>
      <c r="H133" s="34"/>
      <c r="I133" s="33">
        <v>154</v>
      </c>
      <c r="J133" s="32">
        <v>25</v>
      </c>
      <c r="K133" s="31"/>
    </row>
    <row r="134" spans="1:11" x14ac:dyDescent="0.35">
      <c r="A134">
        <v>133</v>
      </c>
      <c r="B134" t="s">
        <v>438</v>
      </c>
      <c r="D134" s="34"/>
      <c r="E134" s="33"/>
      <c r="F134" s="36"/>
      <c r="G134" s="35"/>
      <c r="H134" s="34"/>
      <c r="I134" s="33">
        <v>570</v>
      </c>
      <c r="J134" s="32">
        <v>598</v>
      </c>
      <c r="K134" s="31"/>
    </row>
    <row r="135" spans="1:11" x14ac:dyDescent="0.35">
      <c r="A135">
        <v>134</v>
      </c>
      <c r="B135" t="s">
        <v>437</v>
      </c>
      <c r="D135" s="34"/>
      <c r="E135" s="33"/>
      <c r="F135" s="36"/>
      <c r="G135" s="35"/>
      <c r="H135" s="34"/>
      <c r="I135" s="33"/>
      <c r="J135" s="32">
        <v>388</v>
      </c>
      <c r="K135" s="31"/>
    </row>
    <row r="136" spans="1:11" x14ac:dyDescent="0.35">
      <c r="A136">
        <v>135</v>
      </c>
      <c r="B136" t="s">
        <v>436</v>
      </c>
      <c r="D136" s="34"/>
      <c r="E136" s="33"/>
      <c r="F136" s="36"/>
      <c r="G136" s="35"/>
      <c r="H136" s="34"/>
      <c r="I136" s="33">
        <v>276</v>
      </c>
      <c r="J136" s="32">
        <v>373</v>
      </c>
      <c r="K136" s="31"/>
    </row>
    <row r="137" spans="1:11" x14ac:dyDescent="0.35">
      <c r="A137">
        <v>136</v>
      </c>
      <c r="B137" t="s">
        <v>18</v>
      </c>
      <c r="D137" s="34"/>
      <c r="E137" s="33"/>
      <c r="F137" s="36"/>
      <c r="G137" s="35"/>
      <c r="H137" s="34"/>
      <c r="I137" s="33"/>
      <c r="J137" s="32">
        <v>1265</v>
      </c>
      <c r="K137" s="31"/>
    </row>
    <row r="138" spans="1:11" x14ac:dyDescent="0.35">
      <c r="A138">
        <v>137</v>
      </c>
      <c r="B138" t="s">
        <v>17</v>
      </c>
      <c r="D138" s="34"/>
      <c r="E138" s="33"/>
      <c r="F138" s="36"/>
      <c r="G138" s="35"/>
      <c r="H138" s="34"/>
      <c r="I138" s="33"/>
      <c r="J138" s="32">
        <v>448</v>
      </c>
      <c r="K138" s="31"/>
    </row>
    <row r="139" spans="1:11" x14ac:dyDescent="0.35">
      <c r="A139">
        <v>138</v>
      </c>
      <c r="B139" t="s">
        <v>423</v>
      </c>
      <c r="D139" s="34"/>
      <c r="E139" s="33"/>
      <c r="F139" s="36"/>
      <c r="G139" s="35"/>
      <c r="H139" s="34"/>
      <c r="I139" s="33"/>
      <c r="J139" s="32">
        <v>1834</v>
      </c>
      <c r="K139" s="31"/>
    </row>
    <row r="140" spans="1:11" x14ac:dyDescent="0.35">
      <c r="A140">
        <v>139</v>
      </c>
      <c r="B140" t="s">
        <v>435</v>
      </c>
      <c r="D140" s="34"/>
      <c r="E140" s="33"/>
      <c r="F140" s="36"/>
      <c r="G140" s="35"/>
      <c r="H140" s="34"/>
      <c r="I140" s="33"/>
      <c r="J140" s="32">
        <v>602</v>
      </c>
      <c r="K140" s="31"/>
    </row>
    <row r="141" spans="1:11" x14ac:dyDescent="0.35">
      <c r="A141">
        <v>140</v>
      </c>
      <c r="B141" t="s">
        <v>434</v>
      </c>
      <c r="D141" s="34"/>
      <c r="E141" s="33"/>
      <c r="F141" s="36"/>
      <c r="G141" s="35"/>
      <c r="H141" s="34"/>
      <c r="I141" s="33"/>
      <c r="J141" s="32">
        <v>143</v>
      </c>
      <c r="K141" s="31"/>
    </row>
    <row r="142" spans="1:11" x14ac:dyDescent="0.35">
      <c r="A142">
        <v>141</v>
      </c>
      <c r="B142" t="s">
        <v>433</v>
      </c>
      <c r="D142" s="34"/>
      <c r="E142" s="33"/>
      <c r="F142" s="36"/>
      <c r="G142" s="35"/>
      <c r="H142" s="34"/>
      <c r="I142" s="33"/>
      <c r="J142" s="32">
        <v>894</v>
      </c>
      <c r="K142" s="31"/>
    </row>
    <row r="143" spans="1:11" x14ac:dyDescent="0.35">
      <c r="A143">
        <v>142</v>
      </c>
      <c r="B143" t="s">
        <v>432</v>
      </c>
      <c r="D143" s="34"/>
      <c r="E143" s="33"/>
      <c r="F143" s="36"/>
      <c r="G143" s="35"/>
      <c r="H143" s="34"/>
      <c r="I143" s="33"/>
      <c r="J143" s="32">
        <v>1302</v>
      </c>
      <c r="K143" s="31"/>
    </row>
    <row r="144" spans="1:11" x14ac:dyDescent="0.35">
      <c r="A144">
        <v>143</v>
      </c>
      <c r="B144" t="s">
        <v>431</v>
      </c>
      <c r="D144" s="34"/>
      <c r="E144" s="33"/>
      <c r="F144" s="36"/>
      <c r="G144" s="35"/>
      <c r="H144" s="34"/>
      <c r="I144" s="33"/>
      <c r="J144" s="32">
        <v>1060</v>
      </c>
      <c r="K144" s="31"/>
    </row>
    <row r="145" spans="1:11" x14ac:dyDescent="0.35">
      <c r="A145">
        <v>144</v>
      </c>
      <c r="B145" t="s">
        <v>99</v>
      </c>
      <c r="D145" s="34"/>
      <c r="E145" s="33"/>
      <c r="F145" s="36"/>
      <c r="G145" s="35"/>
      <c r="H145" s="34"/>
      <c r="I145" s="33"/>
      <c r="J145" s="32">
        <v>189</v>
      </c>
      <c r="K145" s="31"/>
    </row>
    <row r="146" spans="1:11" x14ac:dyDescent="0.35">
      <c r="A146">
        <v>145</v>
      </c>
      <c r="B146" t="s">
        <v>430</v>
      </c>
      <c r="D146" s="34"/>
      <c r="E146" s="33"/>
      <c r="F146" s="36"/>
      <c r="G146" s="35"/>
      <c r="H146" s="34"/>
      <c r="I146" s="33"/>
      <c r="J146" s="32">
        <v>172</v>
      </c>
      <c r="K146" s="31"/>
    </row>
    <row r="147" spans="1:11" x14ac:dyDescent="0.35">
      <c r="A147">
        <v>146</v>
      </c>
      <c r="B147" t="s">
        <v>367</v>
      </c>
      <c r="D147" s="34"/>
      <c r="E147" s="33"/>
      <c r="F147" s="36"/>
      <c r="G147" s="35"/>
      <c r="H147" s="34"/>
      <c r="I147" s="33"/>
      <c r="J147" s="32">
        <v>127</v>
      </c>
      <c r="K147" s="31"/>
    </row>
    <row r="148" spans="1:11" x14ac:dyDescent="0.35">
      <c r="A148">
        <v>147</v>
      </c>
      <c r="B148" t="s">
        <v>423</v>
      </c>
      <c r="D148" s="34"/>
      <c r="E148" s="33"/>
      <c r="F148" s="36"/>
      <c r="G148" s="35"/>
      <c r="H148" s="34"/>
      <c r="I148" s="33"/>
      <c r="J148" s="32">
        <v>489</v>
      </c>
      <c r="K148" s="31"/>
    </row>
    <row r="149" spans="1:11" x14ac:dyDescent="0.35">
      <c r="A149">
        <v>148</v>
      </c>
      <c r="B149" t="s">
        <v>429</v>
      </c>
      <c r="D149" s="34"/>
      <c r="E149" s="33"/>
      <c r="F149" s="36"/>
      <c r="G149" s="35"/>
      <c r="H149" s="34"/>
      <c r="I149" s="33"/>
      <c r="J149" s="32">
        <v>208</v>
      </c>
      <c r="K149" s="31"/>
    </row>
    <row r="150" spans="1:11" x14ac:dyDescent="0.35">
      <c r="A150">
        <v>149</v>
      </c>
      <c r="B150" t="s">
        <v>423</v>
      </c>
      <c r="D150" s="34"/>
      <c r="E150" s="33"/>
      <c r="F150" s="36"/>
      <c r="G150" s="35"/>
      <c r="H150" s="34"/>
      <c r="I150" s="33"/>
      <c r="J150" s="32">
        <v>573</v>
      </c>
      <c r="K150" s="31"/>
    </row>
    <row r="151" spans="1:11" x14ac:dyDescent="0.35">
      <c r="A151">
        <v>150</v>
      </c>
      <c r="B151" t="s">
        <v>428</v>
      </c>
      <c r="D151" s="34"/>
      <c r="E151" s="33"/>
      <c r="F151" s="36"/>
      <c r="G151" s="35"/>
      <c r="H151" s="34"/>
      <c r="I151" s="33"/>
      <c r="J151" s="32">
        <v>440</v>
      </c>
      <c r="K151" s="31"/>
    </row>
    <row r="152" spans="1:11" x14ac:dyDescent="0.35">
      <c r="A152">
        <v>151</v>
      </c>
      <c r="B152" t="s">
        <v>367</v>
      </c>
      <c r="D152" s="34"/>
      <c r="E152" s="33"/>
      <c r="F152" s="36"/>
      <c r="G152" s="35"/>
      <c r="H152" s="34"/>
      <c r="I152" s="33"/>
      <c r="J152" s="32">
        <v>180</v>
      </c>
      <c r="K152" s="31"/>
    </row>
    <row r="153" spans="1:11" x14ac:dyDescent="0.35">
      <c r="A153">
        <v>152</v>
      </c>
      <c r="B153" t="s">
        <v>18</v>
      </c>
      <c r="D153" s="34"/>
      <c r="E153" s="33"/>
      <c r="F153" s="36"/>
      <c r="G153" s="35"/>
      <c r="H153" s="34"/>
      <c r="I153" s="33"/>
      <c r="J153" s="32">
        <v>1451</v>
      </c>
      <c r="K153" s="31"/>
    </row>
    <row r="154" spans="1:11" x14ac:dyDescent="0.35">
      <c r="A154">
        <v>153</v>
      </c>
      <c r="B154" t="s">
        <v>423</v>
      </c>
      <c r="D154" s="34"/>
      <c r="E154" s="33"/>
      <c r="F154" s="36"/>
      <c r="G154" s="35"/>
      <c r="H154" s="34"/>
      <c r="I154" s="33"/>
      <c r="J154" s="32">
        <v>202</v>
      </c>
      <c r="K154" s="31"/>
    </row>
    <row r="155" spans="1:11" x14ac:dyDescent="0.35">
      <c r="A155">
        <v>154</v>
      </c>
      <c r="B155" t="s">
        <v>427</v>
      </c>
      <c r="D155" s="34"/>
      <c r="E155" s="33"/>
      <c r="F155" s="36"/>
      <c r="G155" s="35"/>
      <c r="H155" s="34"/>
      <c r="I155" s="33"/>
      <c r="J155" s="32">
        <v>543</v>
      </c>
      <c r="K155" s="31"/>
    </row>
    <row r="156" spans="1:11" x14ac:dyDescent="0.35">
      <c r="A156">
        <v>155</v>
      </c>
      <c r="B156" t="s">
        <v>426</v>
      </c>
      <c r="D156" s="34"/>
      <c r="E156" s="33"/>
      <c r="F156" s="36"/>
      <c r="G156" s="35"/>
      <c r="H156" s="34"/>
      <c r="I156" s="33"/>
      <c r="J156" s="32">
        <v>409</v>
      </c>
      <c r="K156" s="31"/>
    </row>
    <row r="157" spans="1:11" x14ac:dyDescent="0.35">
      <c r="A157">
        <v>156</v>
      </c>
      <c r="B157" t="s">
        <v>425</v>
      </c>
      <c r="D157" s="34"/>
      <c r="E157" s="33"/>
      <c r="F157" s="36"/>
      <c r="G157" s="35"/>
      <c r="H157" s="34"/>
      <c r="I157" s="33"/>
      <c r="J157" s="32">
        <v>186</v>
      </c>
      <c r="K157" s="31"/>
    </row>
    <row r="158" spans="1:11" x14ac:dyDescent="0.35">
      <c r="D158" s="34"/>
      <c r="E158" s="33"/>
      <c r="F158" s="36"/>
      <c r="G158" s="35"/>
      <c r="H158" s="34"/>
      <c r="I158" s="33"/>
      <c r="J158" s="32"/>
      <c r="K158" s="31"/>
    </row>
  </sheetData>
  <sortState xmlns:xlrd2="http://schemas.microsoft.com/office/spreadsheetml/2017/richdata2" ref="A1:L157">
    <sortCondition descending="1" ref="K1:K15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0DC64-C704-44F2-BDBB-96AE5E568121}">
  <dimension ref="A1:J31"/>
  <sheetViews>
    <sheetView topLeftCell="A13" workbookViewId="0">
      <selection activeCell="C16" sqref="C16"/>
    </sheetView>
  </sheetViews>
  <sheetFormatPr defaultRowHeight="14.5" x14ac:dyDescent="0.35"/>
  <cols>
    <col min="2" max="2" width="39.6328125" customWidth="1"/>
    <col min="3" max="3" width="21.453125" bestFit="1" customWidth="1"/>
    <col min="9" max="9" width="8.7265625" style="40"/>
  </cols>
  <sheetData>
    <row r="1" spans="1:10" x14ac:dyDescent="0.35">
      <c r="A1" t="s">
        <v>534</v>
      </c>
      <c r="B1" t="s">
        <v>533</v>
      </c>
      <c r="C1" t="s">
        <v>532</v>
      </c>
      <c r="D1" s="36">
        <v>57</v>
      </c>
      <c r="E1" s="35">
        <v>58</v>
      </c>
      <c r="F1" s="38">
        <v>59</v>
      </c>
      <c r="G1" s="33">
        <v>60</v>
      </c>
      <c r="H1" s="32">
        <v>61</v>
      </c>
      <c r="I1" s="39" t="s">
        <v>535</v>
      </c>
    </row>
    <row r="2" spans="1:10" x14ac:dyDescent="0.35">
      <c r="A2">
        <v>1</v>
      </c>
      <c r="B2" t="s">
        <v>531</v>
      </c>
      <c r="C2" t="s">
        <v>93</v>
      </c>
      <c r="D2" s="36"/>
      <c r="F2" s="38">
        <v>143</v>
      </c>
      <c r="G2" s="33">
        <v>91</v>
      </c>
      <c r="H2" s="32">
        <v>63</v>
      </c>
      <c r="I2" s="40">
        <f>SUM(F2:H2)</f>
        <v>297</v>
      </c>
    </row>
    <row r="3" spans="1:10" x14ac:dyDescent="0.35">
      <c r="A3">
        <v>2</v>
      </c>
      <c r="B3" t="s">
        <v>530</v>
      </c>
      <c r="C3" t="s">
        <v>529</v>
      </c>
      <c r="D3" s="36">
        <v>430</v>
      </c>
      <c r="E3">
        <v>245</v>
      </c>
      <c r="F3" s="38">
        <v>174</v>
      </c>
      <c r="G3" s="33">
        <v>63</v>
      </c>
      <c r="H3" s="32">
        <v>58</v>
      </c>
      <c r="I3" s="40">
        <f t="shared" ref="I3:I31" si="0">SUM(D3:H3)</f>
        <v>970</v>
      </c>
    </row>
    <row r="4" spans="1:10" x14ac:dyDescent="0.35">
      <c r="A4">
        <v>3</v>
      </c>
      <c r="B4" t="s">
        <v>528</v>
      </c>
      <c r="C4" t="s">
        <v>527</v>
      </c>
      <c r="D4" s="36">
        <v>97</v>
      </c>
      <c r="E4">
        <v>16</v>
      </c>
      <c r="F4" s="38">
        <v>3</v>
      </c>
      <c r="G4" s="33">
        <v>2</v>
      </c>
      <c r="H4" s="32">
        <v>2</v>
      </c>
      <c r="I4" s="40">
        <f t="shared" si="0"/>
        <v>120</v>
      </c>
    </row>
    <row r="5" spans="1:10" x14ac:dyDescent="0.35">
      <c r="A5">
        <v>4</v>
      </c>
      <c r="B5" t="s">
        <v>386</v>
      </c>
      <c r="D5" s="36">
        <v>103</v>
      </c>
      <c r="E5">
        <v>25</v>
      </c>
      <c r="F5" s="38">
        <v>10</v>
      </c>
      <c r="G5" s="33">
        <v>3</v>
      </c>
      <c r="H5" s="32">
        <v>6</v>
      </c>
      <c r="I5" s="40">
        <f t="shared" si="0"/>
        <v>147</v>
      </c>
    </row>
    <row r="6" spans="1:10" x14ac:dyDescent="0.35">
      <c r="A6">
        <v>5</v>
      </c>
      <c r="B6" t="s">
        <v>68</v>
      </c>
      <c r="D6" s="36">
        <v>128</v>
      </c>
      <c r="E6">
        <v>53</v>
      </c>
      <c r="F6" s="38">
        <v>18</v>
      </c>
      <c r="G6" s="33">
        <v>5</v>
      </c>
      <c r="H6" s="32">
        <v>6</v>
      </c>
      <c r="I6" s="40">
        <f t="shared" si="0"/>
        <v>210</v>
      </c>
    </row>
    <row r="7" spans="1:10" x14ac:dyDescent="0.35">
      <c r="A7">
        <v>6</v>
      </c>
      <c r="B7" t="s">
        <v>56</v>
      </c>
      <c r="D7" s="36">
        <v>137</v>
      </c>
      <c r="E7">
        <v>50</v>
      </c>
      <c r="F7" s="38">
        <v>14</v>
      </c>
      <c r="G7" s="33">
        <v>17</v>
      </c>
      <c r="H7" s="32">
        <v>6</v>
      </c>
      <c r="I7" s="40">
        <f t="shared" si="0"/>
        <v>224</v>
      </c>
    </row>
    <row r="8" spans="1:10" x14ac:dyDescent="0.35">
      <c r="A8">
        <v>7</v>
      </c>
      <c r="B8" t="s">
        <v>99</v>
      </c>
      <c r="D8" s="36">
        <v>123</v>
      </c>
      <c r="E8">
        <v>44</v>
      </c>
      <c r="F8" s="38">
        <v>31</v>
      </c>
      <c r="G8" s="33">
        <v>21</v>
      </c>
      <c r="H8" s="32">
        <v>20</v>
      </c>
      <c r="I8" s="40">
        <f t="shared" si="0"/>
        <v>239</v>
      </c>
    </row>
    <row r="9" spans="1:10" x14ac:dyDescent="0.35">
      <c r="A9">
        <v>8</v>
      </c>
      <c r="B9" t="s">
        <v>78</v>
      </c>
      <c r="D9" s="36"/>
      <c r="E9">
        <v>104</v>
      </c>
      <c r="F9" s="38">
        <v>34</v>
      </c>
      <c r="G9" s="33">
        <v>17</v>
      </c>
      <c r="H9" s="32">
        <v>15</v>
      </c>
      <c r="I9" s="40">
        <f t="shared" si="0"/>
        <v>170</v>
      </c>
    </row>
    <row r="10" spans="1:10" x14ac:dyDescent="0.35">
      <c r="A10">
        <v>9</v>
      </c>
      <c r="B10" t="s">
        <v>18</v>
      </c>
      <c r="D10" s="36">
        <v>315</v>
      </c>
      <c r="E10">
        <v>114</v>
      </c>
      <c r="F10" s="38">
        <v>18</v>
      </c>
      <c r="G10" s="33">
        <v>3</v>
      </c>
      <c r="H10" s="32">
        <v>3</v>
      </c>
      <c r="I10" s="40">
        <f t="shared" si="0"/>
        <v>453</v>
      </c>
    </row>
    <row r="11" spans="1:10" x14ac:dyDescent="0.35">
      <c r="A11">
        <v>10</v>
      </c>
      <c r="B11" t="s">
        <v>17</v>
      </c>
      <c r="D11" s="36">
        <v>225</v>
      </c>
      <c r="E11">
        <v>57</v>
      </c>
      <c r="F11" s="38">
        <v>12</v>
      </c>
      <c r="G11" s="33">
        <v>3</v>
      </c>
      <c r="H11" s="32">
        <v>1</v>
      </c>
      <c r="I11" s="40">
        <f t="shared" si="0"/>
        <v>298</v>
      </c>
      <c r="J11" t="s">
        <v>526</v>
      </c>
    </row>
    <row r="12" spans="1:10" x14ac:dyDescent="0.35">
      <c r="A12">
        <v>11</v>
      </c>
      <c r="B12" t="s">
        <v>17</v>
      </c>
      <c r="D12" s="36">
        <v>105</v>
      </c>
      <c r="E12">
        <v>73</v>
      </c>
      <c r="F12" s="38">
        <v>29</v>
      </c>
      <c r="G12" s="33"/>
      <c r="H12" s="32">
        <v>14</v>
      </c>
      <c r="I12" s="40">
        <f t="shared" si="0"/>
        <v>221</v>
      </c>
      <c r="J12" t="s">
        <v>525</v>
      </c>
    </row>
    <row r="13" spans="1:10" x14ac:dyDescent="0.35">
      <c r="A13">
        <v>12</v>
      </c>
      <c r="B13" t="s">
        <v>524</v>
      </c>
      <c r="D13" s="36"/>
      <c r="E13">
        <v>311</v>
      </c>
      <c r="F13" s="38">
        <v>32</v>
      </c>
      <c r="G13" s="33">
        <v>1</v>
      </c>
      <c r="H13" s="32">
        <v>3</v>
      </c>
      <c r="I13" s="40">
        <f t="shared" si="0"/>
        <v>347</v>
      </c>
    </row>
    <row r="14" spans="1:10" x14ac:dyDescent="0.35">
      <c r="A14">
        <v>13</v>
      </c>
      <c r="B14" t="s">
        <v>364</v>
      </c>
      <c r="D14" s="36"/>
      <c r="E14">
        <v>120</v>
      </c>
      <c r="F14" s="38">
        <v>76</v>
      </c>
      <c r="G14" s="33">
        <v>28</v>
      </c>
      <c r="H14" s="32">
        <v>57</v>
      </c>
      <c r="I14" s="40">
        <f t="shared" si="0"/>
        <v>281</v>
      </c>
    </row>
    <row r="15" spans="1:10" x14ac:dyDescent="0.35">
      <c r="A15">
        <v>14</v>
      </c>
      <c r="B15" t="s">
        <v>68</v>
      </c>
      <c r="C15" t="s">
        <v>523</v>
      </c>
      <c r="D15" s="36"/>
      <c r="E15">
        <v>92</v>
      </c>
      <c r="F15" s="38">
        <v>26</v>
      </c>
      <c r="G15" s="33">
        <v>9</v>
      </c>
      <c r="H15" s="32">
        <v>20</v>
      </c>
      <c r="I15" s="40">
        <f t="shared" si="0"/>
        <v>147</v>
      </c>
    </row>
    <row r="16" spans="1:10" x14ac:dyDescent="0.35">
      <c r="A16">
        <v>15</v>
      </c>
      <c r="B16" t="s">
        <v>522</v>
      </c>
      <c r="C16" t="s">
        <v>521</v>
      </c>
      <c r="D16" s="36"/>
      <c r="E16">
        <v>125</v>
      </c>
      <c r="F16" s="38">
        <v>148</v>
      </c>
      <c r="G16" s="33">
        <v>35</v>
      </c>
      <c r="H16" s="32">
        <v>28</v>
      </c>
      <c r="I16" s="40">
        <f t="shared" si="0"/>
        <v>336</v>
      </c>
    </row>
    <row r="17" spans="1:9" x14ac:dyDescent="0.35">
      <c r="A17">
        <v>16</v>
      </c>
      <c r="B17" t="s">
        <v>54</v>
      </c>
      <c r="D17" s="36"/>
      <c r="E17">
        <v>37</v>
      </c>
      <c r="F17" s="38">
        <v>3</v>
      </c>
      <c r="G17" s="33">
        <v>2</v>
      </c>
      <c r="H17" s="32">
        <v>3</v>
      </c>
      <c r="I17" s="40">
        <f t="shared" si="0"/>
        <v>45</v>
      </c>
    </row>
    <row r="18" spans="1:9" x14ac:dyDescent="0.35">
      <c r="A18">
        <v>17</v>
      </c>
      <c r="B18" t="s">
        <v>520</v>
      </c>
      <c r="C18" t="s">
        <v>519</v>
      </c>
      <c r="D18" s="36"/>
      <c r="E18">
        <v>134</v>
      </c>
      <c r="F18" s="38">
        <v>63</v>
      </c>
      <c r="G18" s="33">
        <v>21</v>
      </c>
      <c r="H18" s="32">
        <v>46</v>
      </c>
      <c r="I18" s="40">
        <f t="shared" si="0"/>
        <v>264</v>
      </c>
    </row>
    <row r="19" spans="1:9" x14ac:dyDescent="0.35">
      <c r="A19">
        <v>18</v>
      </c>
      <c r="B19" t="s">
        <v>518</v>
      </c>
      <c r="C19" t="s">
        <v>517</v>
      </c>
      <c r="D19" s="36"/>
      <c r="E19">
        <v>385</v>
      </c>
      <c r="F19" s="38">
        <v>235</v>
      </c>
      <c r="G19" s="33">
        <v>61</v>
      </c>
      <c r="H19" s="32">
        <v>106</v>
      </c>
      <c r="I19" s="40">
        <f t="shared" si="0"/>
        <v>787</v>
      </c>
    </row>
    <row r="20" spans="1:9" x14ac:dyDescent="0.35">
      <c r="A20">
        <v>19</v>
      </c>
      <c r="B20" t="s">
        <v>116</v>
      </c>
      <c r="C20" t="s">
        <v>516</v>
      </c>
      <c r="D20" s="36"/>
      <c r="F20" s="38">
        <v>57</v>
      </c>
      <c r="G20" s="33">
        <v>4</v>
      </c>
      <c r="H20" s="32">
        <v>2</v>
      </c>
      <c r="I20" s="40">
        <f t="shared" si="0"/>
        <v>63</v>
      </c>
    </row>
    <row r="21" spans="1:9" x14ac:dyDescent="0.35">
      <c r="A21">
        <v>20</v>
      </c>
      <c r="B21" t="s">
        <v>515</v>
      </c>
      <c r="C21" t="s">
        <v>514</v>
      </c>
      <c r="D21" s="36"/>
      <c r="F21" s="38">
        <v>30</v>
      </c>
      <c r="G21" s="33">
        <v>10</v>
      </c>
      <c r="H21" s="32">
        <v>3</v>
      </c>
      <c r="I21" s="40">
        <f t="shared" si="0"/>
        <v>43</v>
      </c>
    </row>
    <row r="22" spans="1:9" x14ac:dyDescent="0.35">
      <c r="A22">
        <v>21</v>
      </c>
      <c r="B22" t="s">
        <v>513</v>
      </c>
      <c r="C22" t="s">
        <v>512</v>
      </c>
      <c r="D22" s="36"/>
      <c r="F22" s="38">
        <v>158</v>
      </c>
      <c r="G22" s="33">
        <v>56</v>
      </c>
      <c r="H22" s="32">
        <v>59</v>
      </c>
      <c r="I22" s="40">
        <f t="shared" si="0"/>
        <v>273</v>
      </c>
    </row>
    <row r="23" spans="1:9" x14ac:dyDescent="0.35">
      <c r="A23">
        <v>22</v>
      </c>
      <c r="B23" t="s">
        <v>511</v>
      </c>
      <c r="D23" s="36"/>
      <c r="F23" s="38">
        <v>164</v>
      </c>
      <c r="G23" s="33">
        <v>6</v>
      </c>
      <c r="H23" s="32">
        <v>5</v>
      </c>
      <c r="I23" s="40">
        <f t="shared" si="0"/>
        <v>175</v>
      </c>
    </row>
    <row r="24" spans="1:9" x14ac:dyDescent="0.35">
      <c r="A24">
        <v>23</v>
      </c>
      <c r="B24" t="s">
        <v>473</v>
      </c>
      <c r="D24" s="36"/>
      <c r="F24" s="38"/>
      <c r="G24" s="33">
        <v>70</v>
      </c>
      <c r="H24" s="32">
        <v>22</v>
      </c>
      <c r="I24" s="40">
        <f t="shared" si="0"/>
        <v>92</v>
      </c>
    </row>
    <row r="25" spans="1:9" x14ac:dyDescent="0.35">
      <c r="A25">
        <v>24</v>
      </c>
      <c r="B25" t="s">
        <v>141</v>
      </c>
      <c r="D25" s="36"/>
      <c r="F25" s="38"/>
      <c r="G25" s="33">
        <v>54</v>
      </c>
      <c r="H25" s="32">
        <v>3</v>
      </c>
      <c r="I25" s="40">
        <f t="shared" si="0"/>
        <v>57</v>
      </c>
    </row>
    <row r="26" spans="1:9" x14ac:dyDescent="0.35">
      <c r="A26">
        <v>25</v>
      </c>
      <c r="B26" t="s">
        <v>99</v>
      </c>
      <c r="D26" s="36"/>
      <c r="F26" s="38"/>
      <c r="G26" s="33">
        <v>66</v>
      </c>
      <c r="H26" s="32">
        <v>25</v>
      </c>
      <c r="I26" s="40">
        <f t="shared" si="0"/>
        <v>91</v>
      </c>
    </row>
    <row r="27" spans="1:9" x14ac:dyDescent="0.35">
      <c r="A27">
        <v>26</v>
      </c>
      <c r="B27" t="s">
        <v>510</v>
      </c>
      <c r="C27" t="s">
        <v>509</v>
      </c>
      <c r="D27" s="36"/>
      <c r="F27" s="38"/>
      <c r="G27" s="33">
        <v>83</v>
      </c>
      <c r="H27" s="32">
        <v>6</v>
      </c>
      <c r="I27" s="40">
        <f t="shared" si="0"/>
        <v>89</v>
      </c>
    </row>
    <row r="28" spans="1:9" x14ac:dyDescent="0.35">
      <c r="A28">
        <v>27</v>
      </c>
      <c r="B28" t="s">
        <v>438</v>
      </c>
      <c r="D28" s="36"/>
      <c r="F28" s="38"/>
      <c r="G28" s="33">
        <v>212</v>
      </c>
      <c r="H28" s="32">
        <v>188</v>
      </c>
      <c r="I28" s="40">
        <f t="shared" si="0"/>
        <v>400</v>
      </c>
    </row>
    <row r="29" spans="1:9" x14ac:dyDescent="0.35">
      <c r="A29">
        <v>28</v>
      </c>
      <c r="B29" t="s">
        <v>438</v>
      </c>
      <c r="D29" s="36"/>
      <c r="F29" s="38"/>
      <c r="G29" s="33">
        <v>196</v>
      </c>
      <c r="H29" s="32">
        <v>111</v>
      </c>
      <c r="I29" s="40">
        <f t="shared" si="0"/>
        <v>307</v>
      </c>
    </row>
    <row r="30" spans="1:9" x14ac:dyDescent="0.35">
      <c r="A30">
        <v>29</v>
      </c>
      <c r="B30" t="s">
        <v>508</v>
      </c>
      <c r="D30" s="36"/>
      <c r="F30" s="38"/>
      <c r="G30" s="33">
        <v>131</v>
      </c>
      <c r="H30" s="32">
        <v>66</v>
      </c>
      <c r="I30" s="40">
        <f t="shared" si="0"/>
        <v>197</v>
      </c>
    </row>
    <row r="31" spans="1:9" x14ac:dyDescent="0.35">
      <c r="A31">
        <v>30</v>
      </c>
      <c r="B31" t="s">
        <v>507</v>
      </c>
      <c r="C31" t="s">
        <v>506</v>
      </c>
      <c r="D31" s="36"/>
      <c r="F31" s="38"/>
      <c r="G31" s="33">
        <v>156</v>
      </c>
      <c r="H31" s="32">
        <v>85</v>
      </c>
      <c r="I31" s="40">
        <f t="shared" si="0"/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8"/>
  <sheetViews>
    <sheetView workbookViewId="0">
      <selection activeCell="D19" sqref="D19"/>
    </sheetView>
  </sheetViews>
  <sheetFormatPr defaultRowHeight="14.5" x14ac:dyDescent="0.35"/>
  <cols>
    <col min="1" max="1" width="36.54296875" bestFit="1" customWidth="1"/>
    <col min="4" max="4" width="12.81640625" bestFit="1" customWidth="1"/>
  </cols>
  <sheetData>
    <row r="2" spans="1:5" x14ac:dyDescent="0.35">
      <c r="A2" t="s">
        <v>2</v>
      </c>
      <c r="B2" t="s">
        <v>1</v>
      </c>
      <c r="C2">
        <v>410</v>
      </c>
      <c r="D2" t="s">
        <v>5</v>
      </c>
    </row>
    <row r="3" spans="1:5" x14ac:dyDescent="0.35">
      <c r="A3" t="s">
        <v>6</v>
      </c>
      <c r="B3" t="s">
        <v>3</v>
      </c>
      <c r="C3">
        <v>489</v>
      </c>
      <c r="D3" t="s">
        <v>4</v>
      </c>
      <c r="E3">
        <v>633</v>
      </c>
    </row>
    <row r="4" spans="1:5" x14ac:dyDescent="0.35">
      <c r="A4" t="s">
        <v>7</v>
      </c>
      <c r="B4" t="s">
        <v>13</v>
      </c>
      <c r="C4">
        <v>438</v>
      </c>
      <c r="D4" t="s">
        <v>8</v>
      </c>
      <c r="E4">
        <v>468</v>
      </c>
    </row>
    <row r="5" spans="1:5" x14ac:dyDescent="0.35">
      <c r="A5" t="s">
        <v>9</v>
      </c>
      <c r="B5" t="s">
        <v>12</v>
      </c>
      <c r="C5">
        <f>3571+153</f>
        <v>3724</v>
      </c>
      <c r="D5" t="s">
        <v>8</v>
      </c>
      <c r="E5">
        <v>3782</v>
      </c>
    </row>
    <row r="6" spans="1:5" x14ac:dyDescent="0.35">
      <c r="A6" t="s">
        <v>65</v>
      </c>
      <c r="B6" t="s">
        <v>82</v>
      </c>
      <c r="E6">
        <v>187</v>
      </c>
    </row>
    <row r="7" spans="1:5" x14ac:dyDescent="0.35">
      <c r="A7" t="s">
        <v>10</v>
      </c>
      <c r="B7" t="s">
        <v>11</v>
      </c>
      <c r="C7">
        <v>1112</v>
      </c>
      <c r="D7" t="s">
        <v>14</v>
      </c>
      <c r="E7">
        <v>1273</v>
      </c>
    </row>
    <row r="8" spans="1:5" x14ac:dyDescent="0.35">
      <c r="C8">
        <f>SUM(C2:C7)</f>
        <v>6173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Scandia kaikki 78rpm 52-59</vt:lpstr>
      <vt:lpstr>Scandia 78rpm 52-59</vt:lpstr>
      <vt:lpstr>EP 1955-1961</vt:lpstr>
      <vt:lpstr>LP 1957-1961</vt:lpstr>
      <vt:lpstr>Virta Scandia 1952-1955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Jussi</dc:creator>
  <cp:lastModifiedBy>Jussi Reinekari</cp:lastModifiedBy>
  <dcterms:created xsi:type="dcterms:W3CDTF">2014-03-24T18:58:02Z</dcterms:created>
  <dcterms:modified xsi:type="dcterms:W3CDTF">2022-02-13T11:24:16Z</dcterms:modified>
</cp:coreProperties>
</file>